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Tim Huang\Downloads\"/>
    </mc:Choice>
  </mc:AlternateContent>
  <xr:revisionPtr revIDLastSave="0" documentId="13_ncr:1_{6E3DB770-119D-4764-98FB-D5DF0D67C61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ELOC Calculator" sheetId="1" r:id="rId1"/>
    <sheet name="Amortization Schedul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  <c r="B15" i="1"/>
  <c r="B14" i="1"/>
  <c r="B16" i="1" s="1"/>
  <c r="A242" i="2" l="1"/>
  <c r="A247" i="2"/>
  <c r="A249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43" i="2"/>
  <c r="A246" i="2"/>
  <c r="A250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442" i="2"/>
  <c r="A443" i="2"/>
  <c r="A244" i="2"/>
  <c r="A245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248" i="2"/>
  <c r="A322" i="2"/>
  <c r="A323" i="2"/>
  <c r="A362" i="2"/>
  <c r="A363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2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122" i="2"/>
  <c r="A162" i="2"/>
  <c r="A163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C242" i="2" l="1"/>
  <c r="E242" i="2"/>
  <c r="C247" i="2"/>
  <c r="E247" i="2"/>
  <c r="C249" i="2"/>
  <c r="E249" i="2"/>
  <c r="C251" i="2"/>
  <c r="E251" i="2"/>
  <c r="C252" i="2"/>
  <c r="E252" i="2"/>
  <c r="C253" i="2"/>
  <c r="E253" i="2"/>
  <c r="C254" i="2"/>
  <c r="E254" i="2"/>
  <c r="C255" i="2"/>
  <c r="E255" i="2"/>
  <c r="C256" i="2"/>
  <c r="E256" i="2"/>
  <c r="C257" i="2"/>
  <c r="E257" i="2"/>
  <c r="C258" i="2"/>
  <c r="E258" i="2"/>
  <c r="C259" i="2"/>
  <c r="E259" i="2"/>
  <c r="C260" i="2"/>
  <c r="E260" i="2"/>
  <c r="C261" i="2"/>
  <c r="E261" i="2"/>
  <c r="C262" i="2"/>
  <c r="E262" i="2"/>
  <c r="C263" i="2"/>
  <c r="E263" i="2"/>
  <c r="C264" i="2"/>
  <c r="E264" i="2"/>
  <c r="C265" i="2"/>
  <c r="E265" i="2"/>
  <c r="C266" i="2"/>
  <c r="E266" i="2"/>
  <c r="C267" i="2"/>
  <c r="E267" i="2"/>
  <c r="C268" i="2"/>
  <c r="E268" i="2"/>
  <c r="C269" i="2"/>
  <c r="E269" i="2"/>
  <c r="C270" i="2"/>
  <c r="E270" i="2" s="1"/>
  <c r="C271" i="2"/>
  <c r="C272" i="2"/>
  <c r="C273" i="2"/>
  <c r="C274" i="2"/>
  <c r="C275" i="2"/>
  <c r="E275" i="2" s="1"/>
  <c r="C276" i="2"/>
  <c r="E276" i="2" s="1"/>
  <c r="C277" i="2"/>
  <c r="E277" i="2"/>
  <c r="C278" i="2"/>
  <c r="E278" i="2" s="1"/>
  <c r="C279" i="2"/>
  <c r="C280" i="2"/>
  <c r="E280" i="2" s="1"/>
  <c r="C281" i="2"/>
  <c r="E281" i="2"/>
  <c r="C243" i="2"/>
  <c r="C246" i="2"/>
  <c r="C250" i="2"/>
  <c r="C282" i="2"/>
  <c r="C283" i="2"/>
  <c r="E283" i="2" s="1"/>
  <c r="C284" i="2"/>
  <c r="C285" i="2"/>
  <c r="E285" i="2" s="1"/>
  <c r="C286" i="2"/>
  <c r="E286" i="2"/>
  <c r="C287" i="2"/>
  <c r="E287" i="2" s="1"/>
  <c r="C288" i="2"/>
  <c r="C289" i="2"/>
  <c r="E289" i="2" s="1"/>
  <c r="C290" i="2"/>
  <c r="E290" i="2" s="1"/>
  <c r="C291" i="2"/>
  <c r="E291" i="2" s="1"/>
  <c r="C292" i="2"/>
  <c r="E292" i="2" s="1"/>
  <c r="C293" i="2"/>
  <c r="E293" i="2" s="1"/>
  <c r="C294" i="2"/>
  <c r="E294" i="2"/>
  <c r="C295" i="2"/>
  <c r="E295" i="2" s="1"/>
  <c r="C296" i="2"/>
  <c r="C297" i="2"/>
  <c r="C298" i="2"/>
  <c r="C299" i="2"/>
  <c r="C300" i="2"/>
  <c r="C301" i="2"/>
  <c r="C302" i="2"/>
  <c r="E302" i="2"/>
  <c r="C303" i="2"/>
  <c r="E303" i="2"/>
  <c r="C304" i="2"/>
  <c r="E304" i="2"/>
  <c r="C305" i="2"/>
  <c r="E305" i="2"/>
  <c r="C306" i="2"/>
  <c r="E306" i="2"/>
  <c r="C307" i="2"/>
  <c r="E307" i="2"/>
  <c r="C308" i="2"/>
  <c r="E308" i="2"/>
  <c r="C309" i="2"/>
  <c r="E309" i="2"/>
  <c r="C310" i="2"/>
  <c r="E310" i="2"/>
  <c r="C311" i="2"/>
  <c r="E311" i="2"/>
  <c r="C312" i="2"/>
  <c r="E312" i="2"/>
  <c r="C313" i="2"/>
  <c r="E313" i="2"/>
  <c r="C314" i="2"/>
  <c r="C315" i="2"/>
  <c r="E315" i="2"/>
  <c r="C316" i="2"/>
  <c r="E316" i="2"/>
  <c r="C317" i="2"/>
  <c r="E317" i="2"/>
  <c r="C318" i="2"/>
  <c r="E318" i="2"/>
  <c r="C319" i="2"/>
  <c r="E319" i="2"/>
  <c r="C320" i="2"/>
  <c r="E320" i="2"/>
  <c r="C321" i="2"/>
  <c r="E321" i="2"/>
  <c r="C324" i="2"/>
  <c r="E324" i="2"/>
  <c r="C325" i="2"/>
  <c r="E325" i="2"/>
  <c r="C326" i="2"/>
  <c r="E326" i="2"/>
  <c r="C327" i="2"/>
  <c r="E327" i="2"/>
  <c r="C328" i="2"/>
  <c r="E328" i="2"/>
  <c r="C329" i="2"/>
  <c r="E329" i="2"/>
  <c r="C330" i="2"/>
  <c r="C331" i="2"/>
  <c r="C332" i="2"/>
  <c r="E332" i="2"/>
  <c r="C333" i="2"/>
  <c r="C334" i="2"/>
  <c r="C335" i="2"/>
  <c r="C336" i="2"/>
  <c r="C337" i="2"/>
  <c r="C338" i="2"/>
  <c r="E338" i="2" s="1"/>
  <c r="C339" i="2"/>
  <c r="C340" i="2"/>
  <c r="C341" i="2"/>
  <c r="E341" i="2"/>
  <c r="C342" i="2"/>
  <c r="E342" i="2"/>
  <c r="C343" i="2"/>
  <c r="E343" i="2"/>
  <c r="C344" i="2"/>
  <c r="E344" i="2"/>
  <c r="C345" i="2"/>
  <c r="E345" i="2"/>
  <c r="C346" i="2"/>
  <c r="E346" i="2"/>
  <c r="C347" i="2"/>
  <c r="E347" i="2"/>
  <c r="C348" i="2"/>
  <c r="E348" i="2"/>
  <c r="C349" i="2"/>
  <c r="E349" i="2"/>
  <c r="C350" i="2"/>
  <c r="E350" i="2"/>
  <c r="C351" i="2"/>
  <c r="E351" i="2"/>
  <c r="C352" i="2"/>
  <c r="E352" i="2"/>
  <c r="C353" i="2"/>
  <c r="E353" i="2"/>
  <c r="C354" i="2"/>
  <c r="E354" i="2"/>
  <c r="C355" i="2"/>
  <c r="E355" i="2"/>
  <c r="C356" i="2"/>
  <c r="C357" i="2"/>
  <c r="E357" i="2"/>
  <c r="C358" i="2"/>
  <c r="C359" i="2"/>
  <c r="C360" i="2"/>
  <c r="C361" i="2"/>
  <c r="B442" i="2"/>
  <c r="C442" i="2"/>
  <c r="D442" i="2"/>
  <c r="E442" i="2"/>
  <c r="F442" i="2"/>
  <c r="G442" i="2"/>
  <c r="H442" i="2"/>
  <c r="I442" i="2"/>
  <c r="B443" i="2"/>
  <c r="C443" i="2"/>
  <c r="D443" i="2"/>
  <c r="E443" i="2"/>
  <c r="F443" i="2"/>
  <c r="G443" i="2"/>
  <c r="H443" i="2"/>
  <c r="I443" i="2"/>
  <c r="C244" i="2"/>
  <c r="E244" i="2" s="1"/>
  <c r="C245" i="2"/>
  <c r="E245" i="2" s="1"/>
  <c r="C364" i="2"/>
  <c r="C365" i="2"/>
  <c r="C366" i="2"/>
  <c r="C367" i="2"/>
  <c r="C368" i="2"/>
  <c r="C369" i="2"/>
  <c r="C370" i="2"/>
  <c r="E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E386" i="2"/>
  <c r="C387" i="2"/>
  <c r="C388" i="2"/>
  <c r="C389" i="2"/>
  <c r="E389" i="2"/>
  <c r="C390" i="2"/>
  <c r="E390" i="2" s="1"/>
  <c r="C391" i="2"/>
  <c r="E391" i="2"/>
  <c r="C392" i="2"/>
  <c r="E392" i="2" s="1"/>
  <c r="C393" i="2"/>
  <c r="E393" i="2" s="1"/>
  <c r="C394" i="2"/>
  <c r="E394" i="2" s="1"/>
  <c r="C395" i="2"/>
  <c r="E395" i="2" s="1"/>
  <c r="C396" i="2"/>
  <c r="E396" i="2" s="1"/>
  <c r="C397" i="2"/>
  <c r="E397" i="2"/>
  <c r="C398" i="2"/>
  <c r="E398" i="2" s="1"/>
  <c r="C399" i="2"/>
  <c r="E399" i="2" s="1"/>
  <c r="C400" i="2"/>
  <c r="E400" i="2" s="1"/>
  <c r="C401" i="2"/>
  <c r="E401" i="2" s="1"/>
  <c r="C248" i="2"/>
  <c r="E248" i="2" s="1"/>
  <c r="C322" i="2"/>
  <c r="E322" i="2" s="1"/>
  <c r="C323" i="2"/>
  <c r="E323" i="2" s="1"/>
  <c r="C362" i="2"/>
  <c r="E362" i="2"/>
  <c r="C363" i="2"/>
  <c r="E363" i="2"/>
  <c r="C402" i="2"/>
  <c r="E402" i="2"/>
  <c r="C403" i="2"/>
  <c r="E403" i="2"/>
  <c r="C404" i="2"/>
  <c r="E404" i="2"/>
  <c r="C405" i="2"/>
  <c r="E405" i="2"/>
  <c r="C406" i="2"/>
  <c r="E406" i="2"/>
  <c r="C407" i="2"/>
  <c r="E407" i="2"/>
  <c r="C408" i="2"/>
  <c r="E408" i="2"/>
  <c r="C409" i="2"/>
  <c r="E409" i="2"/>
  <c r="C410" i="2"/>
  <c r="E410" i="2"/>
  <c r="C411" i="2"/>
  <c r="E411" i="2"/>
  <c r="C412" i="2"/>
  <c r="E412" i="2"/>
  <c r="C413" i="2"/>
  <c r="E413" i="2"/>
  <c r="C414" i="2"/>
  <c r="E414" i="2"/>
  <c r="C415" i="2"/>
  <c r="E415" i="2"/>
  <c r="C416" i="2"/>
  <c r="E416" i="2"/>
  <c r="C417" i="2"/>
  <c r="E417" i="2"/>
  <c r="C418" i="2"/>
  <c r="E418" i="2"/>
  <c r="C419" i="2"/>
  <c r="E419" i="2"/>
  <c r="C420" i="2"/>
  <c r="E420" i="2"/>
  <c r="C421" i="2"/>
  <c r="E421" i="2" s="1"/>
  <c r="B422" i="2"/>
  <c r="C422" i="2"/>
  <c r="D422" i="2"/>
  <c r="E422" i="2"/>
  <c r="F422" i="2"/>
  <c r="G422" i="2"/>
  <c r="H422" i="2"/>
  <c r="I422" i="2"/>
  <c r="B423" i="2"/>
  <c r="C423" i="2"/>
  <c r="D423" i="2"/>
  <c r="E423" i="2"/>
  <c r="F423" i="2"/>
  <c r="G423" i="2"/>
  <c r="H423" i="2"/>
  <c r="I423" i="2"/>
  <c r="B424" i="2"/>
  <c r="C424" i="2"/>
  <c r="D424" i="2"/>
  <c r="E424" i="2"/>
  <c r="F424" i="2"/>
  <c r="G424" i="2"/>
  <c r="H424" i="2"/>
  <c r="I424" i="2"/>
  <c r="B425" i="2"/>
  <c r="C425" i="2"/>
  <c r="D425" i="2"/>
  <c r="E425" i="2"/>
  <c r="F425" i="2"/>
  <c r="G425" i="2"/>
  <c r="H425" i="2"/>
  <c r="I425" i="2"/>
  <c r="B426" i="2"/>
  <c r="C426" i="2"/>
  <c r="D426" i="2"/>
  <c r="E426" i="2"/>
  <c r="F426" i="2"/>
  <c r="G426" i="2"/>
  <c r="H426" i="2"/>
  <c r="I426" i="2"/>
  <c r="B427" i="2"/>
  <c r="C427" i="2"/>
  <c r="D427" i="2"/>
  <c r="E427" i="2"/>
  <c r="F427" i="2"/>
  <c r="G427" i="2"/>
  <c r="H427" i="2"/>
  <c r="I427" i="2"/>
  <c r="B428" i="2"/>
  <c r="C428" i="2"/>
  <c r="D428" i="2"/>
  <c r="E428" i="2"/>
  <c r="F428" i="2"/>
  <c r="G428" i="2"/>
  <c r="H428" i="2"/>
  <c r="I428" i="2"/>
  <c r="B429" i="2"/>
  <c r="C429" i="2"/>
  <c r="D429" i="2"/>
  <c r="E429" i="2"/>
  <c r="F429" i="2"/>
  <c r="G429" i="2"/>
  <c r="H429" i="2"/>
  <c r="I429" i="2"/>
  <c r="B430" i="2"/>
  <c r="C430" i="2"/>
  <c r="D430" i="2"/>
  <c r="E430" i="2"/>
  <c r="F430" i="2"/>
  <c r="G430" i="2"/>
  <c r="H430" i="2"/>
  <c r="I430" i="2"/>
  <c r="B431" i="2"/>
  <c r="C431" i="2"/>
  <c r="D431" i="2"/>
  <c r="E431" i="2"/>
  <c r="F431" i="2"/>
  <c r="G431" i="2"/>
  <c r="H431" i="2"/>
  <c r="I431" i="2"/>
  <c r="B432" i="2"/>
  <c r="C432" i="2"/>
  <c r="D432" i="2"/>
  <c r="E432" i="2"/>
  <c r="F432" i="2"/>
  <c r="G432" i="2"/>
  <c r="H432" i="2"/>
  <c r="I432" i="2"/>
  <c r="B433" i="2"/>
  <c r="C433" i="2"/>
  <c r="D433" i="2"/>
  <c r="E433" i="2"/>
  <c r="F433" i="2"/>
  <c r="G433" i="2"/>
  <c r="H433" i="2"/>
  <c r="I433" i="2"/>
  <c r="B434" i="2"/>
  <c r="C434" i="2"/>
  <c r="D434" i="2"/>
  <c r="E434" i="2"/>
  <c r="F434" i="2"/>
  <c r="G434" i="2"/>
  <c r="H434" i="2"/>
  <c r="I434" i="2"/>
  <c r="B435" i="2"/>
  <c r="C435" i="2"/>
  <c r="D435" i="2"/>
  <c r="E435" i="2"/>
  <c r="F435" i="2"/>
  <c r="G435" i="2"/>
  <c r="H435" i="2"/>
  <c r="I435" i="2"/>
  <c r="B436" i="2"/>
  <c r="C436" i="2"/>
  <c r="D436" i="2"/>
  <c r="E436" i="2"/>
  <c r="F436" i="2"/>
  <c r="G436" i="2"/>
  <c r="H436" i="2"/>
  <c r="I436" i="2"/>
  <c r="B437" i="2"/>
  <c r="C437" i="2"/>
  <c r="D437" i="2"/>
  <c r="E437" i="2"/>
  <c r="F437" i="2"/>
  <c r="G437" i="2"/>
  <c r="H437" i="2"/>
  <c r="I437" i="2"/>
  <c r="B438" i="2"/>
  <c r="C438" i="2"/>
  <c r="D438" i="2"/>
  <c r="E438" i="2"/>
  <c r="F438" i="2"/>
  <c r="G438" i="2"/>
  <c r="H438" i="2"/>
  <c r="I438" i="2"/>
  <c r="B439" i="2"/>
  <c r="C439" i="2"/>
  <c r="D439" i="2"/>
  <c r="E439" i="2"/>
  <c r="F439" i="2"/>
  <c r="G439" i="2"/>
  <c r="H439" i="2"/>
  <c r="I439" i="2"/>
  <c r="B440" i="2"/>
  <c r="C440" i="2"/>
  <c r="D440" i="2"/>
  <c r="E440" i="2"/>
  <c r="F440" i="2"/>
  <c r="G440" i="2"/>
  <c r="H440" i="2"/>
  <c r="I440" i="2"/>
  <c r="B441" i="2"/>
  <c r="C441" i="2"/>
  <c r="D441" i="2"/>
  <c r="E441" i="2"/>
  <c r="F441" i="2"/>
  <c r="G441" i="2"/>
  <c r="H441" i="2"/>
  <c r="I441" i="2"/>
  <c r="B444" i="2"/>
  <c r="C444" i="2"/>
  <c r="D444" i="2"/>
  <c r="E444" i="2"/>
  <c r="F444" i="2"/>
  <c r="G444" i="2"/>
  <c r="H444" i="2"/>
  <c r="I444" i="2"/>
  <c r="B445" i="2"/>
  <c r="C445" i="2"/>
  <c r="D445" i="2"/>
  <c r="E445" i="2"/>
  <c r="F445" i="2"/>
  <c r="G445" i="2"/>
  <c r="H445" i="2"/>
  <c r="I445" i="2"/>
  <c r="B446" i="2"/>
  <c r="C446" i="2"/>
  <c r="D446" i="2"/>
  <c r="E446" i="2"/>
  <c r="F446" i="2"/>
  <c r="G446" i="2"/>
  <c r="H446" i="2"/>
  <c r="I446" i="2"/>
  <c r="B447" i="2"/>
  <c r="C447" i="2"/>
  <c r="D447" i="2"/>
  <c r="E447" i="2"/>
  <c r="F447" i="2"/>
  <c r="G447" i="2"/>
  <c r="H447" i="2"/>
  <c r="I447" i="2"/>
  <c r="B448" i="2"/>
  <c r="C448" i="2"/>
  <c r="D448" i="2"/>
  <c r="E448" i="2"/>
  <c r="F448" i="2"/>
  <c r="G448" i="2"/>
  <c r="H448" i="2"/>
  <c r="I448" i="2"/>
  <c r="B449" i="2"/>
  <c r="C449" i="2"/>
  <c r="D449" i="2"/>
  <c r="E449" i="2"/>
  <c r="F449" i="2"/>
  <c r="G449" i="2"/>
  <c r="H449" i="2"/>
  <c r="I449" i="2"/>
  <c r="B450" i="2"/>
  <c r="C450" i="2"/>
  <c r="D450" i="2"/>
  <c r="E450" i="2"/>
  <c r="F450" i="2"/>
  <c r="G450" i="2"/>
  <c r="H450" i="2"/>
  <c r="I450" i="2"/>
  <c r="B451" i="2"/>
  <c r="C451" i="2"/>
  <c r="D451" i="2"/>
  <c r="E451" i="2"/>
  <c r="F451" i="2"/>
  <c r="G451" i="2"/>
  <c r="H451" i="2"/>
  <c r="I451" i="2"/>
  <c r="B452" i="2"/>
  <c r="C452" i="2"/>
  <c r="D452" i="2"/>
  <c r="E452" i="2"/>
  <c r="F452" i="2"/>
  <c r="G452" i="2"/>
  <c r="H452" i="2"/>
  <c r="I452" i="2"/>
  <c r="B453" i="2"/>
  <c r="C453" i="2"/>
  <c r="D453" i="2"/>
  <c r="E453" i="2"/>
  <c r="F453" i="2"/>
  <c r="G453" i="2"/>
  <c r="H453" i="2"/>
  <c r="I453" i="2"/>
  <c r="B454" i="2"/>
  <c r="C454" i="2"/>
  <c r="D454" i="2"/>
  <c r="E454" i="2"/>
  <c r="F454" i="2"/>
  <c r="G454" i="2"/>
  <c r="H454" i="2"/>
  <c r="I454" i="2"/>
  <c r="B455" i="2"/>
  <c r="C455" i="2"/>
  <c r="D455" i="2"/>
  <c r="E455" i="2"/>
  <c r="F455" i="2"/>
  <c r="G455" i="2"/>
  <c r="H455" i="2"/>
  <c r="I455" i="2"/>
  <c r="B456" i="2"/>
  <c r="C456" i="2"/>
  <c r="D456" i="2"/>
  <c r="E456" i="2"/>
  <c r="F456" i="2"/>
  <c r="G456" i="2"/>
  <c r="H456" i="2"/>
  <c r="I456" i="2"/>
  <c r="B457" i="2"/>
  <c r="C457" i="2"/>
  <c r="D457" i="2"/>
  <c r="E457" i="2"/>
  <c r="F457" i="2"/>
  <c r="G457" i="2"/>
  <c r="H457" i="2"/>
  <c r="I457" i="2"/>
  <c r="B458" i="2"/>
  <c r="C458" i="2"/>
  <c r="D458" i="2"/>
  <c r="E458" i="2"/>
  <c r="F458" i="2"/>
  <c r="G458" i="2"/>
  <c r="H458" i="2"/>
  <c r="I458" i="2"/>
  <c r="B459" i="2"/>
  <c r="C459" i="2"/>
  <c r="D459" i="2"/>
  <c r="E459" i="2"/>
  <c r="F459" i="2"/>
  <c r="G459" i="2"/>
  <c r="H459" i="2"/>
  <c r="I459" i="2"/>
  <c r="B460" i="2"/>
  <c r="C460" i="2"/>
  <c r="D460" i="2"/>
  <c r="E460" i="2"/>
  <c r="F460" i="2"/>
  <c r="G460" i="2"/>
  <c r="H460" i="2"/>
  <c r="I460" i="2"/>
  <c r="B461" i="2"/>
  <c r="C461" i="2"/>
  <c r="D461" i="2"/>
  <c r="E461" i="2"/>
  <c r="F461" i="2"/>
  <c r="G461" i="2"/>
  <c r="H461" i="2"/>
  <c r="I461" i="2"/>
  <c r="B462" i="2"/>
  <c r="C462" i="2"/>
  <c r="D462" i="2"/>
  <c r="E462" i="2"/>
  <c r="F462" i="2"/>
  <c r="G462" i="2"/>
  <c r="H462" i="2"/>
  <c r="I462" i="2"/>
  <c r="B463" i="2"/>
  <c r="C463" i="2"/>
  <c r="D463" i="2"/>
  <c r="E463" i="2"/>
  <c r="F463" i="2"/>
  <c r="G463" i="2"/>
  <c r="H463" i="2"/>
  <c r="I463" i="2"/>
  <c r="B464" i="2"/>
  <c r="C464" i="2"/>
  <c r="D464" i="2"/>
  <c r="E464" i="2"/>
  <c r="F464" i="2"/>
  <c r="G464" i="2"/>
  <c r="H464" i="2"/>
  <c r="I464" i="2"/>
  <c r="B465" i="2"/>
  <c r="C465" i="2"/>
  <c r="D465" i="2"/>
  <c r="E465" i="2"/>
  <c r="F465" i="2"/>
  <c r="G465" i="2"/>
  <c r="H465" i="2"/>
  <c r="I465" i="2"/>
  <c r="B466" i="2"/>
  <c r="C466" i="2"/>
  <c r="D466" i="2"/>
  <c r="E466" i="2"/>
  <c r="F466" i="2"/>
  <c r="G466" i="2"/>
  <c r="H466" i="2"/>
  <c r="I466" i="2"/>
  <c r="B467" i="2"/>
  <c r="C467" i="2"/>
  <c r="D467" i="2"/>
  <c r="E467" i="2"/>
  <c r="F467" i="2"/>
  <c r="G467" i="2"/>
  <c r="H467" i="2"/>
  <c r="I467" i="2"/>
  <c r="B468" i="2"/>
  <c r="C468" i="2"/>
  <c r="D468" i="2"/>
  <c r="E468" i="2"/>
  <c r="F468" i="2"/>
  <c r="G468" i="2"/>
  <c r="H468" i="2"/>
  <c r="I468" i="2"/>
  <c r="B469" i="2"/>
  <c r="C469" i="2"/>
  <c r="D469" i="2"/>
  <c r="E469" i="2"/>
  <c r="F469" i="2"/>
  <c r="G469" i="2"/>
  <c r="H469" i="2"/>
  <c r="I469" i="2"/>
  <c r="B470" i="2"/>
  <c r="C470" i="2"/>
  <c r="D470" i="2"/>
  <c r="E470" i="2"/>
  <c r="F470" i="2"/>
  <c r="G470" i="2"/>
  <c r="H470" i="2"/>
  <c r="I470" i="2"/>
  <c r="B471" i="2"/>
  <c r="C471" i="2"/>
  <c r="D471" i="2"/>
  <c r="E471" i="2"/>
  <c r="F471" i="2"/>
  <c r="G471" i="2"/>
  <c r="H471" i="2"/>
  <c r="I471" i="2"/>
  <c r="B472" i="2"/>
  <c r="C472" i="2"/>
  <c r="D472" i="2"/>
  <c r="E472" i="2"/>
  <c r="F472" i="2"/>
  <c r="G472" i="2"/>
  <c r="H472" i="2"/>
  <c r="I472" i="2"/>
  <c r="B473" i="2"/>
  <c r="C473" i="2"/>
  <c r="D473" i="2"/>
  <c r="E473" i="2"/>
  <c r="F473" i="2"/>
  <c r="G473" i="2"/>
  <c r="H473" i="2"/>
  <c r="I473" i="2"/>
  <c r="B474" i="2"/>
  <c r="C474" i="2"/>
  <c r="D474" i="2"/>
  <c r="E474" i="2"/>
  <c r="F474" i="2"/>
  <c r="G474" i="2"/>
  <c r="H474" i="2"/>
  <c r="I474" i="2"/>
  <c r="B475" i="2"/>
  <c r="C475" i="2"/>
  <c r="D475" i="2"/>
  <c r="E475" i="2"/>
  <c r="F475" i="2"/>
  <c r="G475" i="2"/>
  <c r="H475" i="2"/>
  <c r="I475" i="2"/>
  <c r="B476" i="2"/>
  <c r="C476" i="2"/>
  <c r="D476" i="2"/>
  <c r="E476" i="2"/>
  <c r="F476" i="2"/>
  <c r="G476" i="2"/>
  <c r="H476" i="2"/>
  <c r="I476" i="2"/>
  <c r="B477" i="2"/>
  <c r="C477" i="2"/>
  <c r="D477" i="2"/>
  <c r="E477" i="2"/>
  <c r="F477" i="2"/>
  <c r="G477" i="2"/>
  <c r="H477" i="2"/>
  <c r="I477" i="2"/>
  <c r="B478" i="2"/>
  <c r="C478" i="2"/>
  <c r="D478" i="2"/>
  <c r="E478" i="2"/>
  <c r="F478" i="2"/>
  <c r="G478" i="2"/>
  <c r="H478" i="2"/>
  <c r="I478" i="2"/>
  <c r="B479" i="2"/>
  <c r="C479" i="2"/>
  <c r="D479" i="2"/>
  <c r="E479" i="2"/>
  <c r="F479" i="2"/>
  <c r="G479" i="2"/>
  <c r="H479" i="2"/>
  <c r="I479" i="2"/>
  <c r="B480" i="2"/>
  <c r="C480" i="2"/>
  <c r="D480" i="2"/>
  <c r="E480" i="2"/>
  <c r="F480" i="2"/>
  <c r="G480" i="2"/>
  <c r="H480" i="2"/>
  <c r="I480" i="2"/>
  <c r="B481" i="2"/>
  <c r="C481" i="2"/>
  <c r="D481" i="2"/>
  <c r="E481" i="2"/>
  <c r="F481" i="2"/>
  <c r="G481" i="2"/>
  <c r="H481" i="2"/>
  <c r="I481" i="2"/>
  <c r="C3" i="2"/>
  <c r="C4" i="2"/>
  <c r="C5" i="2"/>
  <c r="E5" i="2"/>
  <c r="H5" i="2"/>
  <c r="C6" i="2"/>
  <c r="C7" i="2"/>
  <c r="E7" i="2" s="1"/>
  <c r="H7" i="2"/>
  <c r="C8" i="2"/>
  <c r="C9" i="2"/>
  <c r="E9" i="2" s="1"/>
  <c r="H9" i="2"/>
  <c r="C10" i="2"/>
  <c r="C11" i="2"/>
  <c r="E11" i="2"/>
  <c r="H11" i="2"/>
  <c r="C12" i="2"/>
  <c r="C13" i="2"/>
  <c r="C14" i="2"/>
  <c r="C15" i="2"/>
  <c r="E15" i="2" s="1"/>
  <c r="H15" i="2"/>
  <c r="C16" i="2"/>
  <c r="E16" i="2" s="1"/>
  <c r="H16" i="2"/>
  <c r="C17" i="2"/>
  <c r="C18" i="2"/>
  <c r="C19" i="2"/>
  <c r="E19" i="2"/>
  <c r="H19" i="2"/>
  <c r="C20" i="2"/>
  <c r="C21" i="2"/>
  <c r="E21" i="2"/>
  <c r="H21" i="2"/>
  <c r="C22" i="2"/>
  <c r="H22" i="2"/>
  <c r="C23" i="2"/>
  <c r="E23" i="2" s="1"/>
  <c r="H23" i="2"/>
  <c r="C24" i="2"/>
  <c r="C25" i="2"/>
  <c r="E25" i="2" s="1"/>
  <c r="H25" i="2"/>
  <c r="C26" i="2"/>
  <c r="H26" i="2"/>
  <c r="C27" i="2"/>
  <c r="E27" i="2" s="1"/>
  <c r="H27" i="2"/>
  <c r="C28" i="2"/>
  <c r="C29" i="2"/>
  <c r="H29" i="2"/>
  <c r="C30" i="2"/>
  <c r="C31" i="2"/>
  <c r="C32" i="2"/>
  <c r="E32" i="2" s="1"/>
  <c r="H32" i="2"/>
  <c r="C33" i="2"/>
  <c r="E33" i="2" s="1"/>
  <c r="H33" i="2"/>
  <c r="C34" i="2"/>
  <c r="C35" i="2"/>
  <c r="C36" i="2"/>
  <c r="C37" i="2"/>
  <c r="C38" i="2"/>
  <c r="C39" i="2"/>
  <c r="C40" i="2"/>
  <c r="C41" i="2"/>
  <c r="C42" i="2"/>
  <c r="C43" i="2"/>
  <c r="C44" i="2"/>
  <c r="E44" i="2"/>
  <c r="H44" i="2"/>
  <c r="C45" i="2"/>
  <c r="C46" i="2"/>
  <c r="E46" i="2" s="1"/>
  <c r="H46" i="2"/>
  <c r="C47" i="2"/>
  <c r="C48" i="2"/>
  <c r="C49" i="2"/>
  <c r="C50" i="2"/>
  <c r="E50" i="2" s="1"/>
  <c r="H50" i="2"/>
  <c r="C51" i="2"/>
  <c r="C52" i="2"/>
  <c r="C53" i="2"/>
  <c r="E53" i="2" s="1"/>
  <c r="H53" i="2"/>
  <c r="C54" i="2"/>
  <c r="H54" i="2" s="1"/>
  <c r="E54" i="2"/>
  <c r="C55" i="2"/>
  <c r="C56" i="2"/>
  <c r="C57" i="2"/>
  <c r="C58" i="2"/>
  <c r="E58" i="2" s="1"/>
  <c r="H58" i="2"/>
  <c r="C59" i="2"/>
  <c r="E59" i="2" s="1"/>
  <c r="H59" i="2"/>
  <c r="C60" i="2"/>
  <c r="C61" i="2"/>
  <c r="E61" i="2"/>
  <c r="H61" i="2"/>
  <c r="C62" i="2"/>
  <c r="E62" i="2" s="1"/>
  <c r="H62" i="2"/>
  <c r="C63" i="2"/>
  <c r="E63" i="2" s="1"/>
  <c r="H63" i="2"/>
  <c r="C64" i="2"/>
  <c r="C65" i="2"/>
  <c r="C66" i="2"/>
  <c r="C67" i="2"/>
  <c r="E67" i="2" s="1"/>
  <c r="H67" i="2"/>
  <c r="C68" i="2"/>
  <c r="E68" i="2" s="1"/>
  <c r="H68" i="2"/>
  <c r="C69" i="2"/>
  <c r="C70" i="2"/>
  <c r="C71" i="2"/>
  <c r="C72" i="2"/>
  <c r="E72" i="2"/>
  <c r="H72" i="2"/>
  <c r="C73" i="2"/>
  <c r="C74" i="2"/>
  <c r="C75" i="2"/>
  <c r="C76" i="2"/>
  <c r="C77" i="2"/>
  <c r="C78" i="2"/>
  <c r="C79" i="2"/>
  <c r="C80" i="2"/>
  <c r="C81" i="2"/>
  <c r="C2" i="2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D2" i="2"/>
  <c r="F2" i="2" s="1"/>
  <c r="E2" i="2"/>
  <c r="C82" i="2"/>
  <c r="C83" i="2"/>
  <c r="C84" i="2"/>
  <c r="C85" i="2"/>
  <c r="C86" i="2"/>
  <c r="E86" i="2"/>
  <c r="H86" i="2"/>
  <c r="C87" i="2"/>
  <c r="E87" i="2"/>
  <c r="H87" i="2"/>
  <c r="C88" i="2"/>
  <c r="C89" i="2"/>
  <c r="C90" i="2"/>
  <c r="C91" i="2"/>
  <c r="E91" i="2"/>
  <c r="H91" i="2"/>
  <c r="C92" i="2"/>
  <c r="E92" i="2"/>
  <c r="H92" i="2"/>
  <c r="C93" i="2"/>
  <c r="E93" i="2"/>
  <c r="H93" i="2"/>
  <c r="C94" i="2"/>
  <c r="E94" i="2"/>
  <c r="H94" i="2"/>
  <c r="C95" i="2"/>
  <c r="E95" i="2"/>
  <c r="H95" i="2"/>
  <c r="C96" i="2"/>
  <c r="E96" i="2" s="1"/>
  <c r="H96" i="2"/>
  <c r="C97" i="2"/>
  <c r="C98" i="2"/>
  <c r="C99" i="2"/>
  <c r="H99" i="2" s="1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H114" i="2" s="1"/>
  <c r="C115" i="2"/>
  <c r="C116" i="2"/>
  <c r="C117" i="2"/>
  <c r="C118" i="2"/>
  <c r="C119" i="2"/>
  <c r="C120" i="2"/>
  <c r="C121" i="2"/>
  <c r="C123" i="2"/>
  <c r="E123" i="2" s="1"/>
  <c r="C124" i="2"/>
  <c r="E124" i="2" s="1"/>
  <c r="C125" i="2"/>
  <c r="E125" i="2"/>
  <c r="C126" i="2"/>
  <c r="E126" i="2"/>
  <c r="C127" i="2"/>
  <c r="E127" i="2" s="1"/>
  <c r="C128" i="2"/>
  <c r="E128" i="2" s="1"/>
  <c r="C129" i="2"/>
  <c r="E129" i="2" s="1"/>
  <c r="C130" i="2"/>
  <c r="E130" i="2" s="1"/>
  <c r="C131" i="2"/>
  <c r="E131" i="2" s="1"/>
  <c r="C132" i="2"/>
  <c r="E132" i="2" s="1"/>
  <c r="C133" i="2"/>
  <c r="E133" i="2" s="1"/>
  <c r="C134" i="2"/>
  <c r="E134" i="2" s="1"/>
  <c r="C135" i="2"/>
  <c r="E135" i="2" s="1"/>
  <c r="C136" i="2"/>
  <c r="E136" i="2" s="1"/>
  <c r="C137" i="2"/>
  <c r="E137" i="2" s="1"/>
  <c r="C138" i="2"/>
  <c r="E138" i="2" s="1"/>
  <c r="C139" i="2"/>
  <c r="E139" i="2" s="1"/>
  <c r="C140" i="2"/>
  <c r="E140" i="2" s="1"/>
  <c r="C141" i="2"/>
  <c r="E141" i="2"/>
  <c r="C142" i="2"/>
  <c r="E142" i="2" s="1"/>
  <c r="C143" i="2"/>
  <c r="E143" i="2" s="1"/>
  <c r="C144" i="2"/>
  <c r="E144" i="2" s="1"/>
  <c r="C145" i="2"/>
  <c r="C146" i="2"/>
  <c r="C147" i="2"/>
  <c r="E147" i="2" s="1"/>
  <c r="C148" i="2"/>
  <c r="C149" i="2"/>
  <c r="C150" i="2"/>
  <c r="C151" i="2"/>
  <c r="C152" i="2"/>
  <c r="E152" i="2" s="1"/>
  <c r="C153" i="2"/>
  <c r="C154" i="2"/>
  <c r="E154" i="2" s="1"/>
  <c r="C155" i="2"/>
  <c r="C156" i="2"/>
  <c r="C157" i="2"/>
  <c r="C158" i="2"/>
  <c r="E158" i="2" s="1"/>
  <c r="C159" i="2"/>
  <c r="C160" i="2"/>
  <c r="C161" i="2"/>
  <c r="C164" i="2"/>
  <c r="C165" i="2"/>
  <c r="E165" i="2" s="1"/>
  <c r="C166" i="2"/>
  <c r="E166" i="2" s="1"/>
  <c r="C167" i="2"/>
  <c r="E167" i="2"/>
  <c r="C168" i="2"/>
  <c r="E168" i="2"/>
  <c r="C169" i="2"/>
  <c r="E169" i="2"/>
  <c r="C170" i="2"/>
  <c r="E170" i="2" s="1"/>
  <c r="C171" i="2"/>
  <c r="E171" i="2" s="1"/>
  <c r="C172" i="2"/>
  <c r="E172" i="2" s="1"/>
  <c r="C173" i="2"/>
  <c r="E173" i="2" s="1"/>
  <c r="C174" i="2"/>
  <c r="E174" i="2" s="1"/>
  <c r="C175" i="2"/>
  <c r="E175" i="2" s="1"/>
  <c r="C176" i="2"/>
  <c r="E176" i="2" s="1"/>
  <c r="C177" i="2"/>
  <c r="E177" i="2" s="1"/>
  <c r="C178" i="2"/>
  <c r="E178" i="2" s="1"/>
  <c r="C179" i="2"/>
  <c r="E179" i="2" s="1"/>
  <c r="C180" i="2"/>
  <c r="E180" i="2" s="1"/>
  <c r="C181" i="2"/>
  <c r="E181" i="2" s="1"/>
  <c r="C182" i="2"/>
  <c r="E182" i="2" s="1"/>
  <c r="C183" i="2"/>
  <c r="E183" i="2" s="1"/>
  <c r="C184" i="2"/>
  <c r="E184" i="2" s="1"/>
  <c r="C185" i="2"/>
  <c r="E185" i="2" s="1"/>
  <c r="C186" i="2"/>
  <c r="E186" i="2" s="1"/>
  <c r="C187" i="2"/>
  <c r="E187" i="2" s="1"/>
  <c r="C188" i="2"/>
  <c r="E188" i="2" s="1"/>
  <c r="C189" i="2"/>
  <c r="E189" i="2" s="1"/>
  <c r="C190" i="2"/>
  <c r="E190" i="2" s="1"/>
  <c r="C191" i="2"/>
  <c r="E191" i="2" s="1"/>
  <c r="C192" i="2"/>
  <c r="E192" i="2" s="1"/>
  <c r="C193" i="2"/>
  <c r="E193" i="2" s="1"/>
  <c r="C194" i="2"/>
  <c r="E194" i="2" s="1"/>
  <c r="C195" i="2"/>
  <c r="E195" i="2" s="1"/>
  <c r="C196" i="2"/>
  <c r="E196" i="2"/>
  <c r="C197" i="2"/>
  <c r="E197" i="2" s="1"/>
  <c r="C198" i="2"/>
  <c r="E198" i="2" s="1"/>
  <c r="C199" i="2"/>
  <c r="E199" i="2" s="1"/>
  <c r="C200" i="2"/>
  <c r="E200" i="2" s="1"/>
  <c r="C201" i="2"/>
  <c r="E201" i="2" s="1"/>
  <c r="C122" i="2"/>
  <c r="E122" i="2" s="1"/>
  <c r="C162" i="2"/>
  <c r="E162" i="2" s="1"/>
  <c r="C163" i="2"/>
  <c r="E163" i="2" s="1"/>
  <c r="C202" i="2"/>
  <c r="E202" i="2" s="1"/>
  <c r="C203" i="2"/>
  <c r="E203" i="2" s="1"/>
  <c r="C204" i="2"/>
  <c r="E204" i="2" s="1"/>
  <c r="C205" i="2"/>
  <c r="E205" i="2" s="1"/>
  <c r="C206" i="2"/>
  <c r="E206" i="2" s="1"/>
  <c r="C207" i="2"/>
  <c r="E207" i="2" s="1"/>
  <c r="C208" i="2"/>
  <c r="E208" i="2" s="1"/>
  <c r="C209" i="2"/>
  <c r="E209" i="2" s="1"/>
  <c r="C210" i="2"/>
  <c r="E210" i="2" s="1"/>
  <c r="C211" i="2"/>
  <c r="E211" i="2" s="1"/>
  <c r="C212" i="2"/>
  <c r="E212" i="2" s="1"/>
  <c r="C213" i="2"/>
  <c r="E213" i="2" s="1"/>
  <c r="C214" i="2"/>
  <c r="E214" i="2" s="1"/>
  <c r="C215" i="2"/>
  <c r="E215" i="2" s="1"/>
  <c r="C216" i="2"/>
  <c r="E216" i="2" s="1"/>
  <c r="C217" i="2"/>
  <c r="E217" i="2" s="1"/>
  <c r="C218" i="2"/>
  <c r="E218" i="2" s="1"/>
  <c r="C219" i="2"/>
  <c r="E219" i="2" s="1"/>
  <c r="C220" i="2"/>
  <c r="E220" i="2" s="1"/>
  <c r="C221" i="2"/>
  <c r="E221" i="2" s="1"/>
  <c r="C222" i="2"/>
  <c r="E222" i="2" s="1"/>
  <c r="C223" i="2"/>
  <c r="E223" i="2" s="1"/>
  <c r="C224" i="2"/>
  <c r="E224" i="2" s="1"/>
  <c r="C225" i="2"/>
  <c r="E225" i="2" s="1"/>
  <c r="C226" i="2"/>
  <c r="E226" i="2" s="1"/>
  <c r="C227" i="2"/>
  <c r="E227" i="2" s="1"/>
  <c r="C228" i="2"/>
  <c r="E228" i="2" s="1"/>
  <c r="C229" i="2"/>
  <c r="E229" i="2" s="1"/>
  <c r="C230" i="2"/>
  <c r="E230" i="2" s="1"/>
  <c r="C231" i="2"/>
  <c r="E231" i="2" s="1"/>
  <c r="C232" i="2"/>
  <c r="E232" i="2" s="1"/>
  <c r="C233" i="2"/>
  <c r="E233" i="2" s="1"/>
  <c r="C234" i="2"/>
  <c r="E234" i="2" s="1"/>
  <c r="C235" i="2"/>
  <c r="E235" i="2" s="1"/>
  <c r="C236" i="2"/>
  <c r="E236" i="2" s="1"/>
  <c r="C237" i="2"/>
  <c r="E237" i="2" s="1"/>
  <c r="C238" i="2"/>
  <c r="E238" i="2" s="1"/>
  <c r="C239" i="2"/>
  <c r="E239" i="2" s="1"/>
  <c r="C240" i="2"/>
  <c r="E240" i="2" s="1"/>
  <c r="C241" i="2"/>
  <c r="E241" i="2" s="1"/>
  <c r="H4" i="2" l="1"/>
  <c r="E4" i="2"/>
  <c r="E6" i="2"/>
  <c r="H6" i="2"/>
  <c r="E10" i="2"/>
  <c r="H10" i="2"/>
  <c r="E12" i="2"/>
  <c r="H12" i="2"/>
  <c r="E13" i="2"/>
  <c r="H13" i="2"/>
  <c r="E14" i="2"/>
  <c r="H14" i="2"/>
  <c r="E17" i="2"/>
  <c r="H17" i="2"/>
  <c r="E18" i="2"/>
  <c r="H18" i="2"/>
  <c r="E82" i="2"/>
  <c r="H82" i="2"/>
  <c r="H83" i="2"/>
  <c r="E83" i="2"/>
  <c r="E85" i="2"/>
  <c r="H85" i="2"/>
  <c r="E88" i="2"/>
  <c r="H88" i="2"/>
  <c r="E90" i="2"/>
  <c r="H90" i="2"/>
  <c r="H97" i="2"/>
  <c r="E97" i="2"/>
  <c r="E103" i="2"/>
  <c r="H103" i="2"/>
  <c r="E314" i="2"/>
  <c r="E330" i="2"/>
  <c r="E331" i="2"/>
  <c r="E333" i="2"/>
  <c r="E334" i="2"/>
  <c r="E335" i="2"/>
  <c r="E336" i="2"/>
  <c r="E337" i="2"/>
  <c r="E339" i="2"/>
  <c r="E340" i="2"/>
  <c r="E356" i="2"/>
  <c r="E358" i="2"/>
  <c r="E359" i="2"/>
  <c r="E360" i="2"/>
  <c r="E361" i="2"/>
  <c r="E364" i="2"/>
  <c r="E365" i="2"/>
  <c r="E366" i="2"/>
  <c r="E367" i="2"/>
  <c r="E368" i="2"/>
  <c r="E369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7" i="2"/>
  <c r="E388" i="2"/>
  <c r="E8" i="2"/>
  <c r="H8" i="2"/>
  <c r="E45" i="2"/>
  <c r="H45" i="2"/>
  <c r="H47" i="2"/>
  <c r="E47" i="2"/>
  <c r="E48" i="2"/>
  <c r="H48" i="2"/>
  <c r="H49" i="2"/>
  <c r="E49" i="2"/>
  <c r="H51" i="2"/>
  <c r="E51" i="2"/>
  <c r="E52" i="2"/>
  <c r="H52" i="2"/>
  <c r="E55" i="2"/>
  <c r="H55" i="2"/>
  <c r="H56" i="2"/>
  <c r="E56" i="2"/>
  <c r="E57" i="2"/>
  <c r="H57" i="2"/>
  <c r="E60" i="2"/>
  <c r="H60" i="2"/>
  <c r="E64" i="2"/>
  <c r="H64" i="2"/>
  <c r="E65" i="2"/>
  <c r="H65" i="2"/>
  <c r="E66" i="2"/>
  <c r="H66" i="2"/>
  <c r="E69" i="2"/>
  <c r="H69" i="2"/>
  <c r="H70" i="2"/>
  <c r="E70" i="2"/>
  <c r="H71" i="2"/>
  <c r="E71" i="2"/>
  <c r="E73" i="2"/>
  <c r="H73" i="2"/>
  <c r="E74" i="2"/>
  <c r="H74" i="2"/>
  <c r="E76" i="2"/>
  <c r="H76" i="2"/>
  <c r="E80" i="2"/>
  <c r="H80" i="2"/>
  <c r="H84" i="2"/>
  <c r="E84" i="2"/>
  <c r="H89" i="2"/>
  <c r="E89" i="2"/>
  <c r="E105" i="2"/>
  <c r="H105" i="2"/>
  <c r="E271" i="2"/>
  <c r="E272" i="2"/>
  <c r="E273" i="2"/>
  <c r="E274" i="2"/>
  <c r="E279" i="2"/>
  <c r="E243" i="2"/>
  <c r="E246" i="2"/>
  <c r="E250" i="2"/>
  <c r="E282" i="2"/>
  <c r="E284" i="2"/>
  <c r="E288" i="2"/>
  <c r="E296" i="2"/>
  <c r="E297" i="2"/>
  <c r="E298" i="2"/>
  <c r="E299" i="2"/>
  <c r="E300" i="2"/>
  <c r="E301" i="2"/>
  <c r="H3" i="2"/>
  <c r="E3" i="2"/>
  <c r="H20" i="2"/>
  <c r="E20" i="2"/>
  <c r="E22" i="2"/>
  <c r="H24" i="2"/>
  <c r="E24" i="2"/>
  <c r="E26" i="2"/>
  <c r="E28" i="2"/>
  <c r="H28" i="2"/>
  <c r="E29" i="2"/>
  <c r="E30" i="2"/>
  <c r="H30" i="2"/>
  <c r="H31" i="2"/>
  <c r="E31" i="2"/>
  <c r="E34" i="2"/>
  <c r="H34" i="2"/>
  <c r="E35" i="2"/>
  <c r="H35" i="2"/>
  <c r="H36" i="2"/>
  <c r="E36" i="2"/>
  <c r="E37" i="2"/>
  <c r="H37" i="2"/>
  <c r="E38" i="2"/>
  <c r="H38" i="2"/>
  <c r="E39" i="2"/>
  <c r="H39" i="2"/>
  <c r="E40" i="2"/>
  <c r="H40" i="2"/>
  <c r="E41" i="2"/>
  <c r="H41" i="2"/>
  <c r="H42" i="2"/>
  <c r="E42" i="2"/>
  <c r="E43" i="2"/>
  <c r="H43" i="2"/>
  <c r="H75" i="2"/>
  <c r="E75" i="2"/>
  <c r="H77" i="2"/>
  <c r="E77" i="2"/>
  <c r="H78" i="2"/>
  <c r="E78" i="2"/>
  <c r="H79" i="2"/>
  <c r="E79" i="2"/>
  <c r="E81" i="2"/>
  <c r="H81" i="2"/>
  <c r="G2" i="2"/>
  <c r="H2" i="2"/>
  <c r="I2" i="2" s="1"/>
  <c r="D3" i="2" s="1"/>
  <c r="H98" i="2"/>
  <c r="E98" i="2"/>
  <c r="E99" i="2"/>
  <c r="E100" i="2"/>
  <c r="H100" i="2"/>
  <c r="E101" i="2"/>
  <c r="H101" i="2"/>
  <c r="E102" i="2"/>
  <c r="H102" i="2"/>
  <c r="H104" i="2"/>
  <c r="E104" i="2"/>
  <c r="E106" i="2"/>
  <c r="H106" i="2"/>
  <c r="E107" i="2"/>
  <c r="H107" i="2"/>
  <c r="H108" i="2"/>
  <c r="E108" i="2"/>
  <c r="H109" i="2"/>
  <c r="E109" i="2"/>
  <c r="E110" i="2"/>
  <c r="H110" i="2"/>
  <c r="H111" i="2"/>
  <c r="E111" i="2"/>
  <c r="H112" i="2"/>
  <c r="E112" i="2"/>
  <c r="H113" i="2"/>
  <c r="E113" i="2"/>
  <c r="E114" i="2"/>
  <c r="H115" i="2"/>
  <c r="E115" i="2"/>
  <c r="H116" i="2"/>
  <c r="E116" i="2"/>
  <c r="H117" i="2"/>
  <c r="E117" i="2"/>
  <c r="E118" i="2"/>
  <c r="H118" i="2"/>
  <c r="E119" i="2"/>
  <c r="H119" i="2"/>
  <c r="E120" i="2"/>
  <c r="H120" i="2"/>
  <c r="E121" i="2"/>
  <c r="H121" i="2"/>
  <c r="E145" i="2"/>
  <c r="E146" i="2"/>
  <c r="E148" i="2"/>
  <c r="E149" i="2"/>
  <c r="E150" i="2"/>
  <c r="E151" i="2"/>
  <c r="E153" i="2"/>
  <c r="E155" i="2"/>
  <c r="E156" i="2"/>
  <c r="E157" i="2"/>
  <c r="E159" i="2"/>
  <c r="E160" i="2"/>
  <c r="E161" i="2"/>
  <c r="E164" i="2"/>
  <c r="I3" i="2" l="1"/>
  <c r="D4" i="2" s="1"/>
  <c r="F3" i="2"/>
  <c r="I4" i="2" l="1"/>
  <c r="D5" i="2" s="1"/>
  <c r="F4" i="2"/>
  <c r="G4" i="2" s="1"/>
  <c r="G3" i="2"/>
  <c r="I5" i="2" l="1"/>
  <c r="D6" i="2" s="1"/>
  <c r="F5" i="2"/>
  <c r="I6" i="2" l="1"/>
  <c r="D7" i="2" s="1"/>
  <c r="F6" i="2"/>
  <c r="G6" i="2" s="1"/>
  <c r="G5" i="2"/>
  <c r="I7" i="2" l="1"/>
  <c r="D8" i="2" s="1"/>
  <c r="F7" i="2"/>
  <c r="I8" i="2" l="1"/>
  <c r="D9" i="2" s="1"/>
  <c r="F8" i="2"/>
  <c r="G8" i="2" s="1"/>
  <c r="G7" i="2"/>
  <c r="I9" i="2" l="1"/>
  <c r="D10" i="2" s="1"/>
  <c r="F9" i="2"/>
  <c r="G9" i="2" s="1"/>
  <c r="I10" i="2" l="1"/>
  <c r="D11" i="2" s="1"/>
  <c r="F10" i="2"/>
  <c r="G10" i="2" s="1"/>
  <c r="I11" i="2" l="1"/>
  <c r="D12" i="2" s="1"/>
  <c r="F11" i="2"/>
  <c r="G11" i="2" s="1"/>
  <c r="I12" i="2" l="1"/>
  <c r="D13" i="2" s="1"/>
  <c r="F12" i="2"/>
  <c r="G12" i="2" s="1"/>
  <c r="I13" i="2" l="1"/>
  <c r="D14" i="2" s="1"/>
  <c r="F13" i="2"/>
  <c r="G13" i="2" s="1"/>
  <c r="I14" i="2" l="1"/>
  <c r="D15" i="2" s="1"/>
  <c r="F14" i="2"/>
  <c r="G14" i="2" s="1"/>
  <c r="I15" i="2" l="1"/>
  <c r="D16" i="2" s="1"/>
  <c r="F15" i="2"/>
  <c r="G15" i="2" s="1"/>
  <c r="I16" i="2" l="1"/>
  <c r="D17" i="2" s="1"/>
  <c r="F16" i="2"/>
  <c r="G16" i="2" s="1"/>
  <c r="F17" i="2" l="1"/>
  <c r="G17" i="2" s="1"/>
  <c r="I17" i="2"/>
  <c r="D18" i="2" s="1"/>
  <c r="F18" i="2" l="1"/>
  <c r="G18" i="2" s="1"/>
  <c r="I18" i="2"/>
  <c r="D19" i="2" s="1"/>
  <c r="I19" i="2" l="1"/>
  <c r="D20" i="2" s="1"/>
  <c r="F19" i="2"/>
  <c r="G19" i="2" s="1"/>
  <c r="I20" i="2" l="1"/>
  <c r="D21" i="2" s="1"/>
  <c r="F20" i="2"/>
  <c r="G20" i="2" s="1"/>
  <c r="I21" i="2" l="1"/>
  <c r="D22" i="2" s="1"/>
  <c r="F21" i="2"/>
  <c r="G21" i="2" s="1"/>
  <c r="F22" i="2" l="1"/>
  <c r="G22" i="2" s="1"/>
  <c r="I22" i="2"/>
  <c r="D23" i="2" s="1"/>
  <c r="F23" i="2" l="1"/>
  <c r="G23" i="2" s="1"/>
  <c r="I23" i="2"/>
  <c r="D24" i="2" s="1"/>
  <c r="F24" i="2" l="1"/>
  <c r="G24" i="2" s="1"/>
  <c r="I24" i="2"/>
  <c r="D25" i="2" s="1"/>
  <c r="I25" i="2" l="1"/>
  <c r="D26" i="2" s="1"/>
  <c r="F25" i="2"/>
  <c r="G25" i="2" s="1"/>
  <c r="I26" i="2" l="1"/>
  <c r="D27" i="2" s="1"/>
  <c r="F26" i="2"/>
  <c r="G26" i="2" s="1"/>
  <c r="I27" i="2" l="1"/>
  <c r="D28" i="2" s="1"/>
  <c r="F27" i="2"/>
  <c r="G27" i="2" s="1"/>
  <c r="I28" i="2" l="1"/>
  <c r="D29" i="2" s="1"/>
  <c r="F28" i="2"/>
  <c r="G28" i="2" s="1"/>
  <c r="F29" i="2" l="1"/>
  <c r="G29" i="2" s="1"/>
  <c r="I29" i="2"/>
  <c r="D30" i="2" s="1"/>
  <c r="F30" i="2" l="1"/>
  <c r="G30" i="2" s="1"/>
  <c r="I30" i="2"/>
  <c r="D31" i="2" s="1"/>
  <c r="F31" i="2" l="1"/>
  <c r="G31" i="2" s="1"/>
  <c r="I31" i="2"/>
  <c r="D32" i="2" s="1"/>
  <c r="F32" i="2" l="1"/>
  <c r="G32" i="2" s="1"/>
  <c r="I32" i="2"/>
  <c r="D33" i="2" s="1"/>
  <c r="F33" i="2" l="1"/>
  <c r="G33" i="2" s="1"/>
  <c r="I33" i="2"/>
  <c r="D34" i="2" s="1"/>
  <c r="F34" i="2" l="1"/>
  <c r="G34" i="2" s="1"/>
  <c r="I34" i="2"/>
  <c r="D35" i="2" s="1"/>
  <c r="I35" i="2" l="1"/>
  <c r="D36" i="2" s="1"/>
  <c r="F35" i="2"/>
  <c r="G35" i="2" s="1"/>
  <c r="F36" i="2" l="1"/>
  <c r="G36" i="2" s="1"/>
  <c r="I36" i="2"/>
  <c r="D37" i="2" s="1"/>
  <c r="I37" i="2" l="1"/>
  <c r="D38" i="2" s="1"/>
  <c r="F37" i="2"/>
  <c r="G37" i="2" s="1"/>
  <c r="I38" i="2" l="1"/>
  <c r="D39" i="2" s="1"/>
  <c r="F38" i="2"/>
  <c r="G38" i="2" s="1"/>
  <c r="I39" i="2" l="1"/>
  <c r="D40" i="2" s="1"/>
  <c r="F39" i="2"/>
  <c r="G39" i="2" s="1"/>
  <c r="I40" i="2" l="1"/>
  <c r="D41" i="2" s="1"/>
  <c r="F40" i="2"/>
  <c r="G40" i="2" s="1"/>
  <c r="I41" i="2" l="1"/>
  <c r="D42" i="2" s="1"/>
  <c r="F41" i="2"/>
  <c r="G41" i="2" s="1"/>
  <c r="F42" i="2" l="1"/>
  <c r="G42" i="2" s="1"/>
  <c r="I42" i="2"/>
  <c r="D43" i="2" s="1"/>
  <c r="I43" i="2" l="1"/>
  <c r="D44" i="2" s="1"/>
  <c r="F43" i="2"/>
  <c r="G43" i="2" s="1"/>
  <c r="I44" i="2" l="1"/>
  <c r="D45" i="2" s="1"/>
  <c r="F44" i="2"/>
  <c r="G44" i="2" s="1"/>
  <c r="I45" i="2" l="1"/>
  <c r="D46" i="2" s="1"/>
  <c r="F45" i="2"/>
  <c r="G45" i="2" s="1"/>
  <c r="I46" i="2" l="1"/>
  <c r="D47" i="2" s="1"/>
  <c r="F46" i="2"/>
  <c r="G46" i="2" s="1"/>
  <c r="I47" i="2" l="1"/>
  <c r="D48" i="2" s="1"/>
  <c r="F47" i="2"/>
  <c r="G47" i="2" s="1"/>
  <c r="I48" i="2" l="1"/>
  <c r="D49" i="2" s="1"/>
  <c r="F48" i="2"/>
  <c r="G48" i="2" s="1"/>
  <c r="I49" i="2" l="1"/>
  <c r="D50" i="2" s="1"/>
  <c r="F49" i="2"/>
  <c r="G49" i="2" s="1"/>
  <c r="I50" i="2" l="1"/>
  <c r="D51" i="2" s="1"/>
  <c r="F50" i="2"/>
  <c r="G50" i="2" s="1"/>
  <c r="I51" i="2" l="1"/>
  <c r="D52" i="2" s="1"/>
  <c r="F51" i="2"/>
  <c r="G51" i="2" s="1"/>
  <c r="I52" i="2" l="1"/>
  <c r="D53" i="2" s="1"/>
  <c r="F52" i="2"/>
  <c r="G52" i="2" s="1"/>
  <c r="I53" i="2" l="1"/>
  <c r="D54" i="2" s="1"/>
  <c r="F53" i="2"/>
  <c r="G53" i="2" s="1"/>
  <c r="I54" i="2" l="1"/>
  <c r="D55" i="2" s="1"/>
  <c r="F54" i="2"/>
  <c r="G54" i="2" s="1"/>
  <c r="I55" i="2" l="1"/>
  <c r="D56" i="2" s="1"/>
  <c r="F55" i="2"/>
  <c r="G55" i="2" s="1"/>
  <c r="I56" i="2" l="1"/>
  <c r="D57" i="2" s="1"/>
  <c r="F56" i="2"/>
  <c r="G56" i="2" s="1"/>
  <c r="I57" i="2" l="1"/>
  <c r="D58" i="2" s="1"/>
  <c r="F57" i="2"/>
  <c r="G57" i="2" s="1"/>
  <c r="I58" i="2" l="1"/>
  <c r="D59" i="2" s="1"/>
  <c r="F58" i="2"/>
  <c r="G58" i="2" s="1"/>
  <c r="I59" i="2" l="1"/>
  <c r="D60" i="2" s="1"/>
  <c r="F59" i="2"/>
  <c r="G59" i="2" s="1"/>
  <c r="I60" i="2" l="1"/>
  <c r="D61" i="2" s="1"/>
  <c r="F60" i="2"/>
  <c r="G60" i="2" s="1"/>
  <c r="I61" i="2" l="1"/>
  <c r="D62" i="2" s="1"/>
  <c r="F61" i="2"/>
  <c r="G61" i="2" s="1"/>
  <c r="I62" i="2" l="1"/>
  <c r="D63" i="2" s="1"/>
  <c r="F62" i="2"/>
  <c r="G62" i="2" s="1"/>
  <c r="I63" i="2" l="1"/>
  <c r="D64" i="2" s="1"/>
  <c r="F63" i="2"/>
  <c r="G63" i="2" s="1"/>
  <c r="I64" i="2" l="1"/>
  <c r="D65" i="2" s="1"/>
  <c r="F64" i="2"/>
  <c r="G64" i="2" s="1"/>
  <c r="I65" i="2" l="1"/>
  <c r="D66" i="2" s="1"/>
  <c r="F65" i="2"/>
  <c r="G65" i="2" s="1"/>
  <c r="I66" i="2" l="1"/>
  <c r="D67" i="2" s="1"/>
  <c r="F66" i="2"/>
  <c r="G66" i="2" s="1"/>
  <c r="I67" i="2" l="1"/>
  <c r="D68" i="2" s="1"/>
  <c r="F67" i="2"/>
  <c r="G67" i="2" s="1"/>
  <c r="I68" i="2" l="1"/>
  <c r="D69" i="2" s="1"/>
  <c r="F68" i="2"/>
  <c r="G68" i="2" s="1"/>
  <c r="I69" i="2" l="1"/>
  <c r="D70" i="2" s="1"/>
  <c r="F69" i="2"/>
  <c r="G69" i="2" s="1"/>
  <c r="I70" i="2" l="1"/>
  <c r="D71" i="2" s="1"/>
  <c r="F70" i="2"/>
  <c r="G70" i="2" s="1"/>
  <c r="I71" i="2" l="1"/>
  <c r="D72" i="2" s="1"/>
  <c r="F71" i="2"/>
  <c r="G71" i="2" s="1"/>
  <c r="I72" i="2" l="1"/>
  <c r="D73" i="2" s="1"/>
  <c r="F72" i="2"/>
  <c r="G72" i="2" s="1"/>
  <c r="F73" i="2" l="1"/>
  <c r="G73" i="2" s="1"/>
  <c r="I73" i="2"/>
  <c r="D74" i="2" s="1"/>
  <c r="F74" i="2" l="1"/>
  <c r="G74" i="2" s="1"/>
  <c r="I74" i="2"/>
  <c r="D75" i="2" s="1"/>
  <c r="F75" i="2" l="1"/>
  <c r="G75" i="2" s="1"/>
  <c r="I75" i="2"/>
  <c r="D76" i="2" s="1"/>
  <c r="I76" i="2" l="1"/>
  <c r="D77" i="2" s="1"/>
  <c r="F76" i="2"/>
  <c r="G76" i="2" s="1"/>
  <c r="F77" i="2" l="1"/>
  <c r="G77" i="2" s="1"/>
  <c r="I77" i="2"/>
  <c r="D78" i="2" s="1"/>
  <c r="F78" i="2" l="1"/>
  <c r="G78" i="2" s="1"/>
  <c r="I78" i="2"/>
  <c r="D79" i="2" s="1"/>
  <c r="F79" i="2" l="1"/>
  <c r="G79" i="2" s="1"/>
  <c r="I79" i="2"/>
  <c r="D80" i="2" s="1"/>
  <c r="I80" i="2" l="1"/>
  <c r="D81" i="2" s="1"/>
  <c r="F80" i="2"/>
  <c r="G80" i="2" s="1"/>
  <c r="F81" i="2" l="1"/>
  <c r="G81" i="2" s="1"/>
  <c r="I81" i="2"/>
  <c r="D82" i="2" s="1"/>
  <c r="I82" i="2" l="1"/>
  <c r="D83" i="2" s="1"/>
  <c r="F82" i="2"/>
  <c r="G82" i="2" s="1"/>
  <c r="I83" i="2" l="1"/>
  <c r="D84" i="2" s="1"/>
  <c r="F83" i="2"/>
  <c r="G83" i="2" s="1"/>
  <c r="I84" i="2" l="1"/>
  <c r="D85" i="2" s="1"/>
  <c r="F84" i="2"/>
  <c r="G84" i="2" s="1"/>
  <c r="I85" i="2" l="1"/>
  <c r="D86" i="2" s="1"/>
  <c r="F85" i="2"/>
  <c r="G85" i="2" s="1"/>
  <c r="I86" i="2" l="1"/>
  <c r="D87" i="2" s="1"/>
  <c r="F86" i="2"/>
  <c r="G86" i="2" s="1"/>
  <c r="I87" i="2" l="1"/>
  <c r="D88" i="2" s="1"/>
  <c r="F87" i="2"/>
  <c r="G87" i="2" s="1"/>
  <c r="I88" i="2" l="1"/>
  <c r="D89" i="2" s="1"/>
  <c r="F88" i="2"/>
  <c r="G88" i="2" s="1"/>
  <c r="I89" i="2" l="1"/>
  <c r="D90" i="2" s="1"/>
  <c r="F89" i="2"/>
  <c r="G89" i="2" s="1"/>
  <c r="I90" i="2" l="1"/>
  <c r="D91" i="2" s="1"/>
  <c r="F90" i="2"/>
  <c r="G90" i="2" s="1"/>
  <c r="I91" i="2" l="1"/>
  <c r="D92" i="2" s="1"/>
  <c r="F91" i="2"/>
  <c r="G91" i="2" s="1"/>
  <c r="I92" i="2" l="1"/>
  <c r="D93" i="2" s="1"/>
  <c r="F92" i="2"/>
  <c r="G92" i="2" s="1"/>
  <c r="I93" i="2" l="1"/>
  <c r="D94" i="2" s="1"/>
  <c r="F93" i="2"/>
  <c r="G93" i="2" s="1"/>
  <c r="I94" i="2" l="1"/>
  <c r="D95" i="2" s="1"/>
  <c r="F94" i="2"/>
  <c r="G94" i="2" s="1"/>
  <c r="I95" i="2" l="1"/>
  <c r="D96" i="2" s="1"/>
  <c r="F95" i="2"/>
  <c r="G95" i="2" s="1"/>
  <c r="I96" i="2" l="1"/>
  <c r="D97" i="2" s="1"/>
  <c r="F96" i="2"/>
  <c r="G96" i="2" s="1"/>
  <c r="I97" i="2" l="1"/>
  <c r="D98" i="2" s="1"/>
  <c r="F97" i="2"/>
  <c r="G97" i="2" s="1"/>
  <c r="I98" i="2" l="1"/>
  <c r="D99" i="2" s="1"/>
  <c r="F98" i="2"/>
  <c r="G98" i="2" s="1"/>
  <c r="F99" i="2" l="1"/>
  <c r="G99" i="2" s="1"/>
  <c r="I99" i="2"/>
  <c r="D100" i="2" s="1"/>
  <c r="F100" i="2" l="1"/>
  <c r="G100" i="2" s="1"/>
  <c r="I100" i="2"/>
  <c r="D101" i="2" s="1"/>
  <c r="F101" i="2" l="1"/>
  <c r="G101" i="2" s="1"/>
  <c r="I101" i="2"/>
  <c r="D102" i="2" s="1"/>
  <c r="F102" i="2" l="1"/>
  <c r="G102" i="2" s="1"/>
  <c r="I102" i="2"/>
  <c r="D103" i="2" s="1"/>
  <c r="I103" i="2" l="1"/>
  <c r="D104" i="2" s="1"/>
  <c r="F103" i="2"/>
  <c r="G103" i="2" s="1"/>
  <c r="I104" i="2" l="1"/>
  <c r="D105" i="2" s="1"/>
  <c r="F104" i="2"/>
  <c r="G104" i="2" s="1"/>
  <c r="I105" i="2" l="1"/>
  <c r="D106" i="2" s="1"/>
  <c r="F105" i="2"/>
  <c r="G105" i="2" s="1"/>
  <c r="I106" i="2" l="1"/>
  <c r="D107" i="2" s="1"/>
  <c r="F106" i="2"/>
  <c r="G106" i="2" s="1"/>
  <c r="F107" i="2" l="1"/>
  <c r="G107" i="2" s="1"/>
  <c r="I107" i="2"/>
  <c r="D108" i="2" s="1"/>
  <c r="F108" i="2" l="1"/>
  <c r="G108" i="2" s="1"/>
  <c r="I108" i="2"/>
  <c r="D109" i="2" s="1"/>
  <c r="F109" i="2" l="1"/>
  <c r="G109" i="2" s="1"/>
  <c r="I109" i="2"/>
  <c r="D110" i="2" s="1"/>
  <c r="I110" i="2" l="1"/>
  <c r="D111" i="2" s="1"/>
  <c r="F110" i="2"/>
  <c r="G110" i="2" s="1"/>
  <c r="I111" i="2" l="1"/>
  <c r="D112" i="2" s="1"/>
  <c r="F111" i="2"/>
  <c r="G111" i="2" s="1"/>
  <c r="I112" i="2" l="1"/>
  <c r="D113" i="2" s="1"/>
  <c r="F112" i="2"/>
  <c r="G112" i="2" s="1"/>
  <c r="I113" i="2" l="1"/>
  <c r="D114" i="2" s="1"/>
  <c r="F113" i="2"/>
  <c r="G113" i="2" s="1"/>
  <c r="I114" i="2" l="1"/>
  <c r="D115" i="2" s="1"/>
  <c r="F114" i="2"/>
  <c r="G114" i="2" s="1"/>
  <c r="F115" i="2" l="1"/>
  <c r="G115" i="2" s="1"/>
  <c r="I115" i="2"/>
  <c r="D116" i="2" s="1"/>
  <c r="I116" i="2" l="1"/>
  <c r="D117" i="2" s="1"/>
  <c r="F116" i="2"/>
  <c r="G116" i="2" s="1"/>
  <c r="I117" i="2" l="1"/>
  <c r="D118" i="2" s="1"/>
  <c r="F117" i="2"/>
  <c r="G117" i="2" s="1"/>
  <c r="F118" i="2" l="1"/>
  <c r="G118" i="2" s="1"/>
  <c r="I118" i="2"/>
  <c r="D119" i="2" s="1"/>
  <c r="I119" i="2" l="1"/>
  <c r="D120" i="2" s="1"/>
  <c r="F119" i="2"/>
  <c r="G119" i="2" s="1"/>
  <c r="I120" i="2" l="1"/>
  <c r="D121" i="2" s="1"/>
  <c r="F120" i="2"/>
  <c r="G120" i="2" s="1"/>
  <c r="F121" i="2" l="1"/>
  <c r="G121" i="2" s="1"/>
  <c r="I121" i="2"/>
  <c r="D122" i="2" s="1"/>
  <c r="F122" i="2" l="1"/>
  <c r="B17" i="1"/>
  <c r="B18" i="1" s="1"/>
  <c r="G302" i="2" l="1"/>
  <c r="G303" i="2"/>
  <c r="G304" i="2"/>
  <c r="G305" i="2"/>
  <c r="G306" i="2"/>
  <c r="G307" i="2"/>
  <c r="G308" i="2"/>
  <c r="G309" i="2"/>
  <c r="G310" i="2"/>
  <c r="G311" i="2"/>
  <c r="G312" i="2"/>
  <c r="G313" i="2"/>
  <c r="G332" i="2"/>
  <c r="G315" i="2"/>
  <c r="G316" i="2"/>
  <c r="G317" i="2"/>
  <c r="G318" i="2"/>
  <c r="G319" i="2"/>
  <c r="G320" i="2"/>
  <c r="G321" i="2"/>
  <c r="G324" i="2"/>
  <c r="G325" i="2"/>
  <c r="G326" i="2"/>
  <c r="G327" i="2"/>
  <c r="G328" i="2"/>
  <c r="G329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322" i="2"/>
  <c r="G323" i="2"/>
  <c r="G362" i="2"/>
  <c r="G363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381" i="2"/>
  <c r="G386" i="2"/>
  <c r="G338" i="2"/>
  <c r="G357" i="2"/>
  <c r="G377" i="2"/>
  <c r="G370" i="2"/>
  <c r="G314" i="2"/>
  <c r="G330" i="2"/>
  <c r="G331" i="2"/>
  <c r="G333" i="2"/>
  <c r="G334" i="2"/>
  <c r="G335" i="2"/>
  <c r="G336" i="2"/>
  <c r="G365" i="2"/>
  <c r="G366" i="2"/>
  <c r="G367" i="2"/>
  <c r="G372" i="2"/>
  <c r="G373" i="2"/>
  <c r="G375" i="2"/>
  <c r="G376" i="2"/>
  <c r="G378" i="2"/>
  <c r="G337" i="2"/>
  <c r="G339" i="2"/>
  <c r="G340" i="2"/>
  <c r="G356" i="2"/>
  <c r="G358" i="2"/>
  <c r="G359" i="2"/>
  <c r="G360" i="2"/>
  <c r="G361" i="2"/>
  <c r="G368" i="2"/>
  <c r="G369" i="2"/>
  <c r="G371" i="2"/>
  <c r="G374" i="2"/>
  <c r="G379" i="2"/>
  <c r="G380" i="2"/>
  <c r="G364" i="2"/>
  <c r="G382" i="2"/>
  <c r="G383" i="2"/>
  <c r="G384" i="2"/>
  <c r="G385" i="2"/>
  <c r="G387" i="2"/>
  <c r="G388" i="2"/>
  <c r="G301" i="2"/>
  <c r="G300" i="2"/>
  <c r="G298" i="2"/>
  <c r="G297" i="2"/>
  <c r="G284" i="2"/>
  <c r="G282" i="2"/>
  <c r="G246" i="2"/>
  <c r="G279" i="2"/>
  <c r="G164" i="2"/>
  <c r="G161" i="2"/>
  <c r="G160" i="2"/>
  <c r="G159" i="2"/>
  <c r="G157" i="2"/>
  <c r="G155" i="2"/>
  <c r="G151" i="2"/>
  <c r="G148" i="2"/>
  <c r="G153" i="2"/>
  <c r="G150" i="2"/>
  <c r="G149" i="2"/>
  <c r="G146" i="2"/>
  <c r="G145" i="2"/>
  <c r="G250" i="2"/>
  <c r="G299" i="2"/>
  <c r="G296" i="2"/>
  <c r="G288" i="2"/>
  <c r="G243" i="2"/>
  <c r="G274" i="2"/>
  <c r="G273" i="2"/>
  <c r="G272" i="2"/>
  <c r="G271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56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47" i="2"/>
  <c r="G154" i="2"/>
  <c r="G152" i="2"/>
  <c r="G158" i="2"/>
  <c r="G248" i="2"/>
  <c r="G245" i="2"/>
  <c r="G244" i="2"/>
  <c r="G294" i="2"/>
  <c r="G291" i="2"/>
  <c r="G289" i="2"/>
  <c r="G285" i="2"/>
  <c r="G280" i="2"/>
  <c r="G276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49" i="2"/>
  <c r="G247" i="2"/>
  <c r="G242" i="2"/>
  <c r="G293" i="2"/>
  <c r="G287" i="2"/>
  <c r="G286" i="2"/>
  <c r="G278" i="2"/>
  <c r="G270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95" i="2"/>
  <c r="G292" i="2"/>
  <c r="G290" i="2"/>
  <c r="G283" i="2"/>
  <c r="G281" i="2"/>
  <c r="G277" i="2"/>
  <c r="G275" i="2"/>
  <c r="G241" i="2"/>
  <c r="G239" i="2"/>
  <c r="G163" i="2"/>
  <c r="G162" i="2"/>
  <c r="G122" i="2"/>
  <c r="H122" i="2" s="1"/>
  <c r="I122" i="2" s="1"/>
  <c r="D123" i="2" s="1"/>
  <c r="B21" i="1" l="1"/>
  <c r="F123" i="2"/>
  <c r="H123" i="2" s="1"/>
  <c r="I123" i="2" s="1"/>
  <c r="D124" i="2" s="1"/>
  <c r="F124" i="2" l="1"/>
  <c r="H124" i="2" s="1"/>
  <c r="I124" i="2" s="1"/>
  <c r="D125" i="2" s="1"/>
  <c r="F125" i="2" l="1"/>
  <c r="H125" i="2" s="1"/>
  <c r="I125" i="2" s="1"/>
  <c r="D126" i="2" s="1"/>
  <c r="F126" i="2" l="1"/>
  <c r="H126" i="2" s="1"/>
  <c r="I126" i="2" s="1"/>
  <c r="D127" i="2" s="1"/>
  <c r="F127" i="2" l="1"/>
  <c r="H127" i="2" s="1"/>
  <c r="I127" i="2" s="1"/>
  <c r="D128" i="2" s="1"/>
  <c r="F128" i="2" l="1"/>
  <c r="H128" i="2" s="1"/>
  <c r="I128" i="2" s="1"/>
  <c r="D129" i="2" s="1"/>
  <c r="F129" i="2" l="1"/>
  <c r="H129" i="2" s="1"/>
  <c r="I129" i="2" s="1"/>
  <c r="D130" i="2" s="1"/>
  <c r="F130" i="2" l="1"/>
  <c r="H130" i="2" s="1"/>
  <c r="I130" i="2" s="1"/>
  <c r="D131" i="2" s="1"/>
  <c r="F131" i="2" l="1"/>
  <c r="H131" i="2" s="1"/>
  <c r="I131" i="2" s="1"/>
  <c r="D132" i="2" s="1"/>
  <c r="F132" i="2" l="1"/>
  <c r="H132" i="2" s="1"/>
  <c r="I132" i="2" s="1"/>
  <c r="D133" i="2" s="1"/>
  <c r="F133" i="2" l="1"/>
  <c r="H133" i="2" s="1"/>
  <c r="I133" i="2" s="1"/>
  <c r="D134" i="2" s="1"/>
  <c r="F134" i="2" l="1"/>
  <c r="H134" i="2" s="1"/>
  <c r="I134" i="2" s="1"/>
  <c r="D135" i="2" s="1"/>
  <c r="F135" i="2" l="1"/>
  <c r="H135" i="2" s="1"/>
  <c r="I135" i="2" s="1"/>
  <c r="D136" i="2" s="1"/>
  <c r="F136" i="2" l="1"/>
  <c r="H136" i="2" s="1"/>
  <c r="I136" i="2" s="1"/>
  <c r="D137" i="2" s="1"/>
  <c r="F137" i="2" l="1"/>
  <c r="H137" i="2" s="1"/>
  <c r="I137" i="2" s="1"/>
  <c r="D138" i="2" s="1"/>
  <c r="F138" i="2" l="1"/>
  <c r="H138" i="2" s="1"/>
  <c r="I138" i="2" s="1"/>
  <c r="D139" i="2" s="1"/>
  <c r="F139" i="2" l="1"/>
  <c r="H139" i="2" s="1"/>
  <c r="I139" i="2" s="1"/>
  <c r="D140" i="2" s="1"/>
  <c r="F140" i="2" l="1"/>
  <c r="H140" i="2" s="1"/>
  <c r="I140" i="2" s="1"/>
  <c r="D141" i="2" s="1"/>
  <c r="F141" i="2" l="1"/>
  <c r="H141" i="2" s="1"/>
  <c r="I141" i="2" s="1"/>
  <c r="D142" i="2" s="1"/>
  <c r="F142" i="2" l="1"/>
  <c r="H142" i="2" s="1"/>
  <c r="I142" i="2" s="1"/>
  <c r="D143" i="2" s="1"/>
  <c r="F143" i="2" l="1"/>
  <c r="H143" i="2" s="1"/>
  <c r="I143" i="2" s="1"/>
  <c r="D144" i="2" s="1"/>
  <c r="F144" i="2" l="1"/>
  <c r="H144" i="2" s="1"/>
  <c r="I144" i="2" s="1"/>
  <c r="D145" i="2" s="1"/>
  <c r="F145" i="2" l="1"/>
  <c r="H145" i="2" s="1"/>
  <c r="I145" i="2" s="1"/>
  <c r="D146" i="2" s="1"/>
  <c r="F146" i="2" l="1"/>
  <c r="H146" i="2" s="1"/>
  <c r="I146" i="2" s="1"/>
  <c r="D147" i="2" s="1"/>
  <c r="F147" i="2" l="1"/>
  <c r="H147" i="2" s="1"/>
  <c r="I147" i="2" s="1"/>
  <c r="D148" i="2" s="1"/>
  <c r="F148" i="2" l="1"/>
  <c r="H148" i="2" s="1"/>
  <c r="I148" i="2" s="1"/>
  <c r="D149" i="2" s="1"/>
  <c r="F149" i="2" l="1"/>
  <c r="H149" i="2" s="1"/>
  <c r="I149" i="2" s="1"/>
  <c r="D150" i="2" s="1"/>
  <c r="F150" i="2" l="1"/>
  <c r="H150" i="2" s="1"/>
  <c r="I150" i="2" s="1"/>
  <c r="D151" i="2" s="1"/>
  <c r="F151" i="2" l="1"/>
  <c r="H151" i="2" s="1"/>
  <c r="I151" i="2" s="1"/>
  <c r="D152" i="2" s="1"/>
  <c r="F152" i="2" l="1"/>
  <c r="H152" i="2" s="1"/>
  <c r="I152" i="2" s="1"/>
  <c r="D153" i="2" s="1"/>
  <c r="F153" i="2" l="1"/>
  <c r="H153" i="2" s="1"/>
  <c r="I153" i="2" s="1"/>
  <c r="D154" i="2" s="1"/>
  <c r="F154" i="2" l="1"/>
  <c r="H154" i="2" s="1"/>
  <c r="I154" i="2" s="1"/>
  <c r="D155" i="2" s="1"/>
  <c r="F155" i="2" l="1"/>
  <c r="H155" i="2" s="1"/>
  <c r="I155" i="2" s="1"/>
  <c r="D156" i="2" s="1"/>
  <c r="F156" i="2" l="1"/>
  <c r="H156" i="2" s="1"/>
  <c r="I156" i="2" s="1"/>
  <c r="D157" i="2" s="1"/>
  <c r="F157" i="2" l="1"/>
  <c r="H157" i="2" s="1"/>
  <c r="I157" i="2" s="1"/>
  <c r="D158" i="2" s="1"/>
  <c r="F158" i="2" l="1"/>
  <c r="H158" i="2" s="1"/>
  <c r="I158" i="2" s="1"/>
  <c r="D159" i="2" s="1"/>
  <c r="F159" i="2" l="1"/>
  <c r="H159" i="2" s="1"/>
  <c r="I159" i="2" s="1"/>
  <c r="D160" i="2" s="1"/>
  <c r="F160" i="2" l="1"/>
  <c r="H160" i="2" s="1"/>
  <c r="I160" i="2" s="1"/>
  <c r="D161" i="2" s="1"/>
  <c r="F161" i="2" l="1"/>
  <c r="H161" i="2" s="1"/>
  <c r="I161" i="2" s="1"/>
  <c r="D162" i="2" s="1"/>
  <c r="F162" i="2" l="1"/>
  <c r="H162" i="2" s="1"/>
  <c r="I162" i="2" s="1"/>
  <c r="D163" i="2" s="1"/>
  <c r="F163" i="2" l="1"/>
  <c r="H163" i="2" s="1"/>
  <c r="I163" i="2" s="1"/>
  <c r="D164" i="2" s="1"/>
  <c r="F164" i="2" l="1"/>
  <c r="H164" i="2" s="1"/>
  <c r="I164" i="2" s="1"/>
  <c r="D165" i="2" s="1"/>
  <c r="F165" i="2" l="1"/>
  <c r="H165" i="2" s="1"/>
  <c r="I165" i="2" s="1"/>
  <c r="D166" i="2" s="1"/>
  <c r="F166" i="2" l="1"/>
  <c r="H166" i="2" s="1"/>
  <c r="I166" i="2" s="1"/>
  <c r="D167" i="2" s="1"/>
  <c r="F167" i="2" l="1"/>
  <c r="H167" i="2" s="1"/>
  <c r="I167" i="2" s="1"/>
  <c r="D168" i="2" s="1"/>
  <c r="F168" i="2" l="1"/>
  <c r="H168" i="2" s="1"/>
  <c r="I168" i="2" s="1"/>
  <c r="D169" i="2" s="1"/>
  <c r="F169" i="2" l="1"/>
  <c r="H169" i="2" s="1"/>
  <c r="I169" i="2" s="1"/>
  <c r="D170" i="2" s="1"/>
  <c r="F170" i="2" l="1"/>
  <c r="H170" i="2" s="1"/>
  <c r="I170" i="2" s="1"/>
  <c r="D171" i="2" s="1"/>
  <c r="F171" i="2" l="1"/>
  <c r="H171" i="2" s="1"/>
  <c r="I171" i="2" s="1"/>
  <c r="D172" i="2" s="1"/>
  <c r="F172" i="2" l="1"/>
  <c r="H172" i="2" s="1"/>
  <c r="I172" i="2" s="1"/>
  <c r="D173" i="2" s="1"/>
  <c r="F173" i="2" l="1"/>
  <c r="H173" i="2" s="1"/>
  <c r="I173" i="2" s="1"/>
  <c r="D174" i="2" s="1"/>
  <c r="F174" i="2" l="1"/>
  <c r="H174" i="2" s="1"/>
  <c r="I174" i="2" s="1"/>
  <c r="D175" i="2" s="1"/>
  <c r="F175" i="2" l="1"/>
  <c r="H175" i="2" s="1"/>
  <c r="I175" i="2" s="1"/>
  <c r="D176" i="2" s="1"/>
  <c r="F176" i="2" l="1"/>
  <c r="H176" i="2" s="1"/>
  <c r="I176" i="2" s="1"/>
  <c r="D177" i="2" s="1"/>
  <c r="F177" i="2" l="1"/>
  <c r="H177" i="2" s="1"/>
  <c r="I177" i="2" s="1"/>
  <c r="D178" i="2" s="1"/>
  <c r="F178" i="2" l="1"/>
  <c r="H178" i="2" s="1"/>
  <c r="I178" i="2" s="1"/>
  <c r="D179" i="2" s="1"/>
  <c r="F179" i="2" l="1"/>
  <c r="H179" i="2" s="1"/>
  <c r="I179" i="2" s="1"/>
  <c r="D180" i="2" s="1"/>
  <c r="F180" i="2" l="1"/>
  <c r="H180" i="2" s="1"/>
  <c r="I180" i="2" s="1"/>
  <c r="D181" i="2" s="1"/>
  <c r="F181" i="2" l="1"/>
  <c r="H181" i="2" s="1"/>
  <c r="I181" i="2" s="1"/>
  <c r="D182" i="2" s="1"/>
  <c r="F182" i="2" l="1"/>
  <c r="H182" i="2" s="1"/>
  <c r="I182" i="2" s="1"/>
  <c r="D183" i="2" s="1"/>
  <c r="F183" i="2" l="1"/>
  <c r="H183" i="2" s="1"/>
  <c r="I183" i="2" s="1"/>
  <c r="D184" i="2" s="1"/>
  <c r="F184" i="2" l="1"/>
  <c r="H184" i="2" s="1"/>
  <c r="I184" i="2" s="1"/>
  <c r="D185" i="2" s="1"/>
  <c r="F185" i="2" l="1"/>
  <c r="H185" i="2" s="1"/>
  <c r="I185" i="2" s="1"/>
  <c r="D186" i="2" s="1"/>
  <c r="F186" i="2" l="1"/>
  <c r="H186" i="2" s="1"/>
  <c r="I186" i="2" s="1"/>
  <c r="D187" i="2" s="1"/>
  <c r="F187" i="2" l="1"/>
  <c r="H187" i="2" s="1"/>
  <c r="I187" i="2" s="1"/>
  <c r="D188" i="2" s="1"/>
  <c r="F188" i="2" l="1"/>
  <c r="H188" i="2" s="1"/>
  <c r="I188" i="2" s="1"/>
  <c r="D189" i="2" s="1"/>
  <c r="F189" i="2" l="1"/>
  <c r="H189" i="2" s="1"/>
  <c r="I189" i="2" s="1"/>
  <c r="D190" i="2" s="1"/>
  <c r="F190" i="2" l="1"/>
  <c r="H190" i="2" s="1"/>
  <c r="I190" i="2" s="1"/>
  <c r="D191" i="2" s="1"/>
  <c r="F191" i="2" l="1"/>
  <c r="H191" i="2" s="1"/>
  <c r="I191" i="2" s="1"/>
  <c r="D192" i="2" s="1"/>
  <c r="F192" i="2" l="1"/>
  <c r="H192" i="2" s="1"/>
  <c r="I192" i="2" s="1"/>
  <c r="D193" i="2" s="1"/>
  <c r="F193" i="2" l="1"/>
  <c r="H193" i="2" s="1"/>
  <c r="I193" i="2" s="1"/>
  <c r="D194" i="2" s="1"/>
  <c r="F194" i="2" l="1"/>
  <c r="H194" i="2" s="1"/>
  <c r="I194" i="2" s="1"/>
  <c r="D195" i="2" s="1"/>
  <c r="F195" i="2" l="1"/>
  <c r="H195" i="2" s="1"/>
  <c r="I195" i="2" s="1"/>
  <c r="D196" i="2" s="1"/>
  <c r="F196" i="2" l="1"/>
  <c r="H196" i="2" s="1"/>
  <c r="I196" i="2" s="1"/>
  <c r="D197" i="2" s="1"/>
  <c r="F197" i="2" l="1"/>
  <c r="H197" i="2" s="1"/>
  <c r="I197" i="2" s="1"/>
  <c r="D198" i="2" s="1"/>
  <c r="F198" i="2" l="1"/>
  <c r="H198" i="2" s="1"/>
  <c r="I198" i="2" s="1"/>
  <c r="D199" i="2" s="1"/>
  <c r="F199" i="2" l="1"/>
  <c r="H199" i="2" s="1"/>
  <c r="I199" i="2" s="1"/>
  <c r="D200" i="2" s="1"/>
  <c r="F200" i="2" l="1"/>
  <c r="H200" i="2" s="1"/>
  <c r="I200" i="2" s="1"/>
  <c r="D201" i="2" s="1"/>
  <c r="F201" i="2" l="1"/>
  <c r="H201" i="2" s="1"/>
  <c r="I201" i="2" s="1"/>
  <c r="D202" i="2" s="1"/>
  <c r="F202" i="2" l="1"/>
  <c r="H202" i="2" s="1"/>
  <c r="I202" i="2" s="1"/>
  <c r="D203" i="2" s="1"/>
  <c r="F203" i="2" l="1"/>
  <c r="H203" i="2" s="1"/>
  <c r="I203" i="2" s="1"/>
  <c r="D204" i="2" s="1"/>
  <c r="F204" i="2" l="1"/>
  <c r="H204" i="2" s="1"/>
  <c r="I204" i="2" s="1"/>
  <c r="D205" i="2" s="1"/>
  <c r="F205" i="2" l="1"/>
  <c r="H205" i="2" s="1"/>
  <c r="I205" i="2" s="1"/>
  <c r="D206" i="2" s="1"/>
  <c r="F206" i="2" l="1"/>
  <c r="H206" i="2" s="1"/>
  <c r="I206" i="2" s="1"/>
  <c r="D207" i="2" s="1"/>
  <c r="F207" i="2" l="1"/>
  <c r="H207" i="2" s="1"/>
  <c r="I207" i="2" s="1"/>
  <c r="D208" i="2" s="1"/>
  <c r="F208" i="2" l="1"/>
  <c r="H208" i="2" s="1"/>
  <c r="I208" i="2" s="1"/>
  <c r="D209" i="2" s="1"/>
  <c r="F209" i="2" l="1"/>
  <c r="H209" i="2" s="1"/>
  <c r="I209" i="2" s="1"/>
  <c r="D210" i="2" s="1"/>
  <c r="F210" i="2" l="1"/>
  <c r="H210" i="2" s="1"/>
  <c r="I210" i="2" s="1"/>
  <c r="D211" i="2" s="1"/>
  <c r="F211" i="2" l="1"/>
  <c r="H211" i="2" s="1"/>
  <c r="I211" i="2" s="1"/>
  <c r="D212" i="2" s="1"/>
  <c r="F212" i="2" l="1"/>
  <c r="H212" i="2" s="1"/>
  <c r="I212" i="2" s="1"/>
  <c r="D213" i="2" s="1"/>
  <c r="F213" i="2" l="1"/>
  <c r="H213" i="2" s="1"/>
  <c r="I213" i="2" s="1"/>
  <c r="D214" i="2" s="1"/>
  <c r="F214" i="2" l="1"/>
  <c r="H214" i="2" s="1"/>
  <c r="I214" i="2" s="1"/>
  <c r="D215" i="2" s="1"/>
  <c r="F215" i="2" l="1"/>
  <c r="H215" i="2" s="1"/>
  <c r="I215" i="2" s="1"/>
  <c r="D216" i="2" s="1"/>
  <c r="F216" i="2" l="1"/>
  <c r="H216" i="2" s="1"/>
  <c r="I216" i="2" s="1"/>
  <c r="D217" i="2" s="1"/>
  <c r="F217" i="2" l="1"/>
  <c r="H217" i="2" s="1"/>
  <c r="I217" i="2" s="1"/>
  <c r="D218" i="2" s="1"/>
  <c r="F218" i="2" l="1"/>
  <c r="H218" i="2" s="1"/>
  <c r="I218" i="2" s="1"/>
  <c r="D219" i="2" s="1"/>
  <c r="F219" i="2" l="1"/>
  <c r="H219" i="2" s="1"/>
  <c r="I219" i="2" s="1"/>
  <c r="D220" i="2" s="1"/>
  <c r="F220" i="2" l="1"/>
  <c r="H220" i="2" s="1"/>
  <c r="I220" i="2" s="1"/>
  <c r="D221" i="2" s="1"/>
  <c r="F221" i="2" l="1"/>
  <c r="H221" i="2" s="1"/>
  <c r="I221" i="2" s="1"/>
  <c r="D222" i="2" s="1"/>
  <c r="F222" i="2" l="1"/>
  <c r="H222" i="2" s="1"/>
  <c r="I222" i="2" s="1"/>
  <c r="D223" i="2" s="1"/>
  <c r="F223" i="2" l="1"/>
  <c r="H223" i="2" s="1"/>
  <c r="I223" i="2" s="1"/>
  <c r="D224" i="2" s="1"/>
  <c r="F224" i="2" l="1"/>
  <c r="H224" i="2" s="1"/>
  <c r="I224" i="2" s="1"/>
  <c r="D225" i="2" s="1"/>
  <c r="F225" i="2" l="1"/>
  <c r="H225" i="2" s="1"/>
  <c r="I225" i="2" s="1"/>
  <c r="D226" i="2" s="1"/>
  <c r="F226" i="2" l="1"/>
  <c r="H226" i="2" s="1"/>
  <c r="I226" i="2" s="1"/>
  <c r="D227" i="2" s="1"/>
  <c r="F227" i="2" l="1"/>
  <c r="H227" i="2" s="1"/>
  <c r="I227" i="2" s="1"/>
  <c r="D228" i="2" s="1"/>
  <c r="F228" i="2" l="1"/>
  <c r="H228" i="2" s="1"/>
  <c r="I228" i="2" s="1"/>
  <c r="D229" i="2" s="1"/>
  <c r="F229" i="2" l="1"/>
  <c r="H229" i="2" s="1"/>
  <c r="I229" i="2" s="1"/>
  <c r="D230" i="2" s="1"/>
  <c r="F230" i="2" l="1"/>
  <c r="H230" i="2" s="1"/>
  <c r="I230" i="2" s="1"/>
  <c r="D231" i="2" s="1"/>
  <c r="F231" i="2" l="1"/>
  <c r="H231" i="2" s="1"/>
  <c r="I231" i="2" s="1"/>
  <c r="D232" i="2" s="1"/>
  <c r="F232" i="2" l="1"/>
  <c r="H232" i="2" s="1"/>
  <c r="I232" i="2" s="1"/>
  <c r="D233" i="2" s="1"/>
  <c r="F233" i="2" l="1"/>
  <c r="H233" i="2" s="1"/>
  <c r="I233" i="2" s="1"/>
  <c r="D234" i="2" s="1"/>
  <c r="F234" i="2" l="1"/>
  <c r="H234" i="2" s="1"/>
  <c r="I234" i="2" s="1"/>
  <c r="D235" i="2" s="1"/>
  <c r="F235" i="2" l="1"/>
  <c r="H235" i="2" s="1"/>
  <c r="I235" i="2" s="1"/>
  <c r="D236" i="2" s="1"/>
  <c r="F236" i="2" l="1"/>
  <c r="H236" i="2" s="1"/>
  <c r="I236" i="2" s="1"/>
  <c r="D237" i="2" s="1"/>
  <c r="F237" i="2" l="1"/>
  <c r="H237" i="2" s="1"/>
  <c r="I237" i="2" s="1"/>
  <c r="D238" i="2" s="1"/>
  <c r="F238" i="2" l="1"/>
  <c r="H238" i="2" s="1"/>
  <c r="I238" i="2" s="1"/>
  <c r="D239" i="2" s="1"/>
  <c r="F239" i="2" l="1"/>
  <c r="H239" i="2" s="1"/>
  <c r="I239" i="2" s="1"/>
  <c r="D240" i="2" s="1"/>
  <c r="F240" i="2" l="1"/>
  <c r="H240" i="2" s="1"/>
  <c r="I240" i="2" s="1"/>
  <c r="D241" i="2" s="1"/>
  <c r="F241" i="2" l="1"/>
  <c r="H241" i="2" s="1"/>
  <c r="I241" i="2" s="1"/>
  <c r="D242" i="2" s="1"/>
  <c r="F242" i="2" l="1"/>
  <c r="H242" i="2" s="1"/>
  <c r="I242" i="2" s="1"/>
  <c r="D243" i="2" s="1"/>
  <c r="F243" i="2" l="1"/>
  <c r="H243" i="2" s="1"/>
  <c r="I243" i="2" s="1"/>
  <c r="D244" i="2" s="1"/>
  <c r="F244" i="2" l="1"/>
  <c r="H244" i="2" s="1"/>
  <c r="I244" i="2" s="1"/>
  <c r="D245" i="2" s="1"/>
  <c r="F245" i="2" l="1"/>
  <c r="H245" i="2" s="1"/>
  <c r="I245" i="2" s="1"/>
  <c r="D246" i="2" s="1"/>
  <c r="F246" i="2" l="1"/>
  <c r="H246" i="2" s="1"/>
  <c r="I246" i="2" s="1"/>
  <c r="D247" i="2" s="1"/>
  <c r="F247" i="2" l="1"/>
  <c r="H247" i="2" s="1"/>
  <c r="I247" i="2" s="1"/>
  <c r="D248" i="2" s="1"/>
  <c r="F248" i="2" l="1"/>
  <c r="H248" i="2" s="1"/>
  <c r="I248" i="2" s="1"/>
  <c r="D249" i="2" s="1"/>
  <c r="F249" i="2" l="1"/>
  <c r="H249" i="2" s="1"/>
  <c r="I249" i="2" s="1"/>
  <c r="D250" i="2" s="1"/>
  <c r="F250" i="2" l="1"/>
  <c r="H250" i="2" s="1"/>
  <c r="I250" i="2" s="1"/>
  <c r="D251" i="2" s="1"/>
  <c r="F251" i="2" l="1"/>
  <c r="H251" i="2" s="1"/>
  <c r="I251" i="2" s="1"/>
  <c r="D252" i="2" s="1"/>
  <c r="F252" i="2" l="1"/>
  <c r="H252" i="2" s="1"/>
  <c r="I252" i="2" s="1"/>
  <c r="D253" i="2" s="1"/>
  <c r="F253" i="2" l="1"/>
  <c r="H253" i="2" s="1"/>
  <c r="I253" i="2" s="1"/>
  <c r="D254" i="2" s="1"/>
  <c r="F254" i="2" l="1"/>
  <c r="H254" i="2" s="1"/>
  <c r="I254" i="2" s="1"/>
  <c r="D255" i="2" s="1"/>
  <c r="F255" i="2" l="1"/>
  <c r="H255" i="2" s="1"/>
  <c r="I255" i="2" s="1"/>
  <c r="D256" i="2" s="1"/>
  <c r="F256" i="2" l="1"/>
  <c r="H256" i="2" s="1"/>
  <c r="I256" i="2" s="1"/>
  <c r="D257" i="2" s="1"/>
  <c r="F257" i="2" l="1"/>
  <c r="H257" i="2" s="1"/>
  <c r="I257" i="2" s="1"/>
  <c r="D258" i="2" s="1"/>
  <c r="F258" i="2" l="1"/>
  <c r="H258" i="2" s="1"/>
  <c r="I258" i="2" s="1"/>
  <c r="D259" i="2" s="1"/>
  <c r="F259" i="2" l="1"/>
  <c r="H259" i="2" s="1"/>
  <c r="I259" i="2" s="1"/>
  <c r="D260" i="2" s="1"/>
  <c r="F260" i="2" l="1"/>
  <c r="H260" i="2" s="1"/>
  <c r="I260" i="2" s="1"/>
  <c r="D261" i="2" s="1"/>
  <c r="F261" i="2" l="1"/>
  <c r="H261" i="2" s="1"/>
  <c r="I261" i="2" s="1"/>
  <c r="D262" i="2" s="1"/>
  <c r="F262" i="2" l="1"/>
  <c r="H262" i="2" s="1"/>
  <c r="I262" i="2" s="1"/>
  <c r="D263" i="2" s="1"/>
  <c r="F263" i="2" l="1"/>
  <c r="H263" i="2" s="1"/>
  <c r="I263" i="2" s="1"/>
  <c r="D264" i="2" s="1"/>
  <c r="F264" i="2" l="1"/>
  <c r="H264" i="2" s="1"/>
  <c r="I264" i="2" s="1"/>
  <c r="D265" i="2" s="1"/>
  <c r="F265" i="2" l="1"/>
  <c r="H265" i="2" s="1"/>
  <c r="I265" i="2" s="1"/>
  <c r="D266" i="2" s="1"/>
  <c r="F266" i="2" l="1"/>
  <c r="H266" i="2" s="1"/>
  <c r="I266" i="2" s="1"/>
  <c r="D267" i="2" s="1"/>
  <c r="F267" i="2" l="1"/>
  <c r="H267" i="2" s="1"/>
  <c r="I267" i="2" s="1"/>
  <c r="D268" i="2" s="1"/>
  <c r="F268" i="2" l="1"/>
  <c r="H268" i="2" s="1"/>
  <c r="I268" i="2" s="1"/>
  <c r="D269" i="2" s="1"/>
  <c r="F269" i="2" l="1"/>
  <c r="H269" i="2" s="1"/>
  <c r="I269" i="2" s="1"/>
  <c r="D270" i="2" s="1"/>
  <c r="F270" i="2" l="1"/>
  <c r="H270" i="2" s="1"/>
  <c r="I270" i="2" s="1"/>
  <c r="D271" i="2" s="1"/>
  <c r="F271" i="2" l="1"/>
  <c r="H271" i="2" s="1"/>
  <c r="I271" i="2" s="1"/>
  <c r="D272" i="2" s="1"/>
  <c r="F272" i="2" l="1"/>
  <c r="H272" i="2" s="1"/>
  <c r="I272" i="2" s="1"/>
  <c r="D273" i="2" s="1"/>
  <c r="F273" i="2" l="1"/>
  <c r="H273" i="2" s="1"/>
  <c r="I273" i="2" s="1"/>
  <c r="D274" i="2" s="1"/>
  <c r="F274" i="2" l="1"/>
  <c r="H274" i="2" s="1"/>
  <c r="I274" i="2" s="1"/>
  <c r="D275" i="2" s="1"/>
  <c r="F275" i="2" l="1"/>
  <c r="H275" i="2" s="1"/>
  <c r="I275" i="2" s="1"/>
  <c r="D276" i="2" s="1"/>
  <c r="F276" i="2" l="1"/>
  <c r="H276" i="2" s="1"/>
  <c r="I276" i="2" s="1"/>
  <c r="D277" i="2" s="1"/>
  <c r="F277" i="2" l="1"/>
  <c r="H277" i="2" s="1"/>
  <c r="I277" i="2" s="1"/>
  <c r="D278" i="2" s="1"/>
  <c r="F278" i="2" l="1"/>
  <c r="H278" i="2" s="1"/>
  <c r="I278" i="2" s="1"/>
  <c r="D279" i="2" s="1"/>
  <c r="F279" i="2" l="1"/>
  <c r="H279" i="2" s="1"/>
  <c r="I279" i="2" s="1"/>
  <c r="D280" i="2" s="1"/>
  <c r="F280" i="2" l="1"/>
  <c r="H280" i="2" s="1"/>
  <c r="I280" i="2" s="1"/>
  <c r="D281" i="2" s="1"/>
  <c r="F281" i="2" l="1"/>
  <c r="H281" i="2" s="1"/>
  <c r="I281" i="2" s="1"/>
  <c r="D282" i="2" s="1"/>
  <c r="F282" i="2" l="1"/>
  <c r="H282" i="2" s="1"/>
  <c r="I282" i="2" s="1"/>
  <c r="D283" i="2" s="1"/>
  <c r="F283" i="2" l="1"/>
  <c r="H283" i="2" s="1"/>
  <c r="I283" i="2" s="1"/>
  <c r="D284" i="2" s="1"/>
  <c r="F284" i="2" l="1"/>
  <c r="H284" i="2" s="1"/>
  <c r="I284" i="2" s="1"/>
  <c r="D285" i="2" s="1"/>
  <c r="F285" i="2" l="1"/>
  <c r="H285" i="2" s="1"/>
  <c r="I285" i="2" s="1"/>
  <c r="D286" i="2" s="1"/>
  <c r="F286" i="2" l="1"/>
  <c r="H286" i="2" s="1"/>
  <c r="I286" i="2" s="1"/>
  <c r="D287" i="2" s="1"/>
  <c r="F287" i="2" l="1"/>
  <c r="H287" i="2" s="1"/>
  <c r="I287" i="2" s="1"/>
  <c r="D288" i="2" s="1"/>
  <c r="F288" i="2" l="1"/>
  <c r="H288" i="2" s="1"/>
  <c r="I288" i="2" s="1"/>
  <c r="D289" i="2" s="1"/>
  <c r="F289" i="2" l="1"/>
  <c r="H289" i="2" s="1"/>
  <c r="I289" i="2" s="1"/>
  <c r="D290" i="2" s="1"/>
  <c r="F290" i="2" l="1"/>
  <c r="H290" i="2" s="1"/>
  <c r="I290" i="2" s="1"/>
  <c r="D291" i="2" s="1"/>
  <c r="F291" i="2" l="1"/>
  <c r="H291" i="2" s="1"/>
  <c r="I291" i="2" s="1"/>
  <c r="D292" i="2" s="1"/>
  <c r="F292" i="2" l="1"/>
  <c r="H292" i="2" s="1"/>
  <c r="I292" i="2" s="1"/>
  <c r="D293" i="2" s="1"/>
  <c r="F293" i="2" l="1"/>
  <c r="H293" i="2" s="1"/>
  <c r="I293" i="2" s="1"/>
  <c r="D294" i="2" s="1"/>
  <c r="F294" i="2" l="1"/>
  <c r="H294" i="2" s="1"/>
  <c r="I294" i="2" s="1"/>
  <c r="D295" i="2" s="1"/>
  <c r="F295" i="2" l="1"/>
  <c r="H295" i="2" s="1"/>
  <c r="I295" i="2" s="1"/>
  <c r="D296" i="2" s="1"/>
  <c r="F296" i="2" l="1"/>
  <c r="H296" i="2" s="1"/>
  <c r="I296" i="2" s="1"/>
  <c r="D297" i="2" s="1"/>
  <c r="F297" i="2" l="1"/>
  <c r="H297" i="2" s="1"/>
  <c r="I297" i="2" s="1"/>
  <c r="D298" i="2" s="1"/>
  <c r="F298" i="2" l="1"/>
  <c r="H298" i="2" s="1"/>
  <c r="I298" i="2" s="1"/>
  <c r="D299" i="2" s="1"/>
  <c r="F299" i="2" l="1"/>
  <c r="H299" i="2" s="1"/>
  <c r="I299" i="2" s="1"/>
  <c r="D300" i="2" s="1"/>
  <c r="F300" i="2" l="1"/>
  <c r="H300" i="2" s="1"/>
  <c r="I300" i="2" s="1"/>
  <c r="D301" i="2" s="1"/>
  <c r="F301" i="2" l="1"/>
  <c r="H301" i="2" l="1"/>
  <c r="I301" i="2" s="1"/>
  <c r="D302" i="2" s="1"/>
  <c r="F302" i="2" l="1"/>
  <c r="H302" i="2" l="1"/>
  <c r="I302" i="2" s="1"/>
  <c r="D303" i="2" s="1"/>
  <c r="F303" i="2" l="1"/>
  <c r="H303" i="2" l="1"/>
  <c r="I303" i="2" s="1"/>
  <c r="D304" i="2" s="1"/>
  <c r="F304" i="2" l="1"/>
  <c r="H304" i="2" l="1"/>
  <c r="I304" i="2" s="1"/>
  <c r="D305" i="2" s="1"/>
  <c r="F305" i="2" l="1"/>
  <c r="H305" i="2" l="1"/>
  <c r="I305" i="2" s="1"/>
  <c r="D306" i="2" s="1"/>
  <c r="F306" i="2" l="1"/>
  <c r="H306" i="2" s="1"/>
  <c r="I306" i="2" s="1"/>
  <c r="D307" i="2" s="1"/>
  <c r="I307" i="2" l="1"/>
  <c r="D308" i="2" s="1"/>
  <c r="F307" i="2"/>
  <c r="H307" i="2" s="1"/>
  <c r="F308" i="2" l="1"/>
  <c r="H308" i="2" s="1"/>
  <c r="I308" i="2" s="1"/>
  <c r="D309" i="2" s="1"/>
  <c r="F309" i="2" l="1"/>
  <c r="H309" i="2" s="1"/>
  <c r="I309" i="2" s="1"/>
  <c r="D310" i="2" s="1"/>
  <c r="F310" i="2" l="1"/>
  <c r="H310" i="2" s="1"/>
  <c r="I310" i="2" s="1"/>
  <c r="D311" i="2" s="1"/>
  <c r="F311" i="2" l="1"/>
  <c r="H311" i="2" s="1"/>
  <c r="I311" i="2" s="1"/>
  <c r="D312" i="2" s="1"/>
  <c r="F312" i="2" l="1"/>
  <c r="H312" i="2" s="1"/>
  <c r="I312" i="2" s="1"/>
  <c r="D313" i="2" s="1"/>
  <c r="F313" i="2" l="1"/>
  <c r="H313" i="2" s="1"/>
  <c r="I313" i="2" s="1"/>
  <c r="D314" i="2" s="1"/>
  <c r="F314" i="2" l="1"/>
  <c r="H314" i="2" s="1"/>
  <c r="I314" i="2" s="1"/>
  <c r="D315" i="2" s="1"/>
  <c r="F315" i="2" l="1"/>
  <c r="H315" i="2" s="1"/>
  <c r="I315" i="2" s="1"/>
  <c r="D316" i="2" s="1"/>
  <c r="F316" i="2" l="1"/>
  <c r="H316" i="2" s="1"/>
  <c r="I316" i="2" s="1"/>
  <c r="D317" i="2" s="1"/>
  <c r="F317" i="2" l="1"/>
  <c r="H317" i="2" s="1"/>
  <c r="I317" i="2" s="1"/>
  <c r="D318" i="2" s="1"/>
  <c r="F318" i="2" l="1"/>
  <c r="H318" i="2" s="1"/>
  <c r="I318" i="2" s="1"/>
  <c r="D319" i="2" s="1"/>
  <c r="F319" i="2" l="1"/>
  <c r="H319" i="2" s="1"/>
  <c r="I319" i="2" s="1"/>
  <c r="D320" i="2" s="1"/>
  <c r="F320" i="2" l="1"/>
  <c r="H320" i="2" s="1"/>
  <c r="I320" i="2" s="1"/>
  <c r="D321" i="2" s="1"/>
  <c r="F321" i="2" l="1"/>
  <c r="H321" i="2" s="1"/>
  <c r="I321" i="2" s="1"/>
  <c r="D322" i="2" s="1"/>
  <c r="F322" i="2" l="1"/>
  <c r="H322" i="2" s="1"/>
  <c r="I322" i="2" s="1"/>
  <c r="D323" i="2" s="1"/>
  <c r="F323" i="2" l="1"/>
  <c r="H323" i="2" s="1"/>
  <c r="I323" i="2" s="1"/>
  <c r="D324" i="2" s="1"/>
  <c r="F324" i="2" l="1"/>
  <c r="H324" i="2" s="1"/>
  <c r="I324" i="2" s="1"/>
  <c r="D325" i="2" s="1"/>
  <c r="F325" i="2" l="1"/>
  <c r="H325" i="2" s="1"/>
  <c r="I325" i="2" s="1"/>
  <c r="D326" i="2" s="1"/>
  <c r="F326" i="2" l="1"/>
  <c r="H326" i="2" s="1"/>
  <c r="I326" i="2" s="1"/>
  <c r="D327" i="2" s="1"/>
  <c r="F327" i="2" l="1"/>
  <c r="H327" i="2" s="1"/>
  <c r="I327" i="2" s="1"/>
  <c r="D328" i="2" s="1"/>
  <c r="F328" i="2" l="1"/>
  <c r="H328" i="2" s="1"/>
  <c r="I328" i="2" s="1"/>
  <c r="D329" i="2" s="1"/>
  <c r="F329" i="2" l="1"/>
  <c r="H329" i="2" s="1"/>
  <c r="I329" i="2" s="1"/>
  <c r="D330" i="2" s="1"/>
  <c r="F330" i="2" l="1"/>
  <c r="H330" i="2" s="1"/>
  <c r="I330" i="2" s="1"/>
  <c r="D331" i="2" s="1"/>
  <c r="F331" i="2" l="1"/>
  <c r="H331" i="2" s="1"/>
  <c r="I331" i="2" s="1"/>
  <c r="D332" i="2" s="1"/>
  <c r="F332" i="2" l="1"/>
  <c r="H332" i="2" s="1"/>
  <c r="I332" i="2" s="1"/>
  <c r="D333" i="2" s="1"/>
  <c r="F333" i="2" l="1"/>
  <c r="H333" i="2" s="1"/>
  <c r="I333" i="2"/>
  <c r="D334" i="2" s="1"/>
  <c r="F334" i="2" l="1"/>
  <c r="H334" i="2" s="1"/>
  <c r="I334" i="2" s="1"/>
  <c r="D335" i="2" s="1"/>
  <c r="F335" i="2" l="1"/>
  <c r="H335" i="2" s="1"/>
  <c r="I335" i="2" s="1"/>
  <c r="D336" i="2" s="1"/>
  <c r="F336" i="2" l="1"/>
  <c r="H336" i="2" s="1"/>
  <c r="I336" i="2" s="1"/>
  <c r="D337" i="2" s="1"/>
  <c r="F337" i="2" l="1"/>
  <c r="H337" i="2" s="1"/>
  <c r="I337" i="2" s="1"/>
  <c r="D338" i="2" s="1"/>
  <c r="F338" i="2" l="1"/>
  <c r="H338" i="2" s="1"/>
  <c r="I338" i="2" s="1"/>
  <c r="D339" i="2" s="1"/>
  <c r="F339" i="2" l="1"/>
  <c r="H339" i="2" s="1"/>
  <c r="I339" i="2" s="1"/>
  <c r="D340" i="2" s="1"/>
  <c r="F340" i="2" l="1"/>
  <c r="H340" i="2" s="1"/>
  <c r="I340" i="2" s="1"/>
  <c r="D341" i="2" s="1"/>
  <c r="F341" i="2" l="1"/>
  <c r="H341" i="2" s="1"/>
  <c r="I341" i="2" s="1"/>
  <c r="D342" i="2" s="1"/>
  <c r="F342" i="2" l="1"/>
  <c r="H342" i="2" s="1"/>
  <c r="I342" i="2" s="1"/>
  <c r="D343" i="2" s="1"/>
  <c r="F343" i="2" l="1"/>
  <c r="H343" i="2" s="1"/>
  <c r="I343" i="2" s="1"/>
  <c r="D344" i="2" s="1"/>
  <c r="F344" i="2" l="1"/>
  <c r="H344" i="2" s="1"/>
  <c r="I344" i="2" s="1"/>
  <c r="D345" i="2" s="1"/>
  <c r="F345" i="2" l="1"/>
  <c r="H345" i="2" s="1"/>
  <c r="I345" i="2" s="1"/>
  <c r="D346" i="2" s="1"/>
  <c r="F346" i="2" l="1"/>
  <c r="H346" i="2" s="1"/>
  <c r="I346" i="2" s="1"/>
  <c r="D347" i="2" s="1"/>
  <c r="F347" i="2" l="1"/>
  <c r="H347" i="2" s="1"/>
  <c r="I347" i="2" s="1"/>
  <c r="D348" i="2" s="1"/>
  <c r="F348" i="2" l="1"/>
  <c r="H348" i="2" s="1"/>
  <c r="I348" i="2" s="1"/>
  <c r="D349" i="2" s="1"/>
  <c r="F349" i="2" l="1"/>
  <c r="H349" i="2" s="1"/>
  <c r="I349" i="2" s="1"/>
  <c r="D350" i="2" s="1"/>
  <c r="F350" i="2" l="1"/>
  <c r="H350" i="2" s="1"/>
  <c r="I350" i="2" s="1"/>
  <c r="D351" i="2" s="1"/>
  <c r="F351" i="2" l="1"/>
  <c r="H351" i="2" s="1"/>
  <c r="I351" i="2" s="1"/>
  <c r="D352" i="2" s="1"/>
  <c r="F352" i="2" l="1"/>
  <c r="H352" i="2" s="1"/>
  <c r="I352" i="2" s="1"/>
  <c r="D353" i="2" s="1"/>
  <c r="F353" i="2" l="1"/>
  <c r="H353" i="2" s="1"/>
  <c r="I353" i="2" s="1"/>
  <c r="D354" i="2" s="1"/>
  <c r="F354" i="2" l="1"/>
  <c r="H354" i="2" s="1"/>
  <c r="I354" i="2" s="1"/>
  <c r="D355" i="2" s="1"/>
  <c r="F355" i="2" l="1"/>
  <c r="H355" i="2" s="1"/>
  <c r="I355" i="2" s="1"/>
  <c r="D356" i="2" s="1"/>
  <c r="F356" i="2" l="1"/>
  <c r="H356" i="2" s="1"/>
  <c r="I356" i="2" s="1"/>
  <c r="D357" i="2" s="1"/>
  <c r="F357" i="2" l="1"/>
  <c r="H357" i="2" s="1"/>
  <c r="I357" i="2" s="1"/>
  <c r="D358" i="2" s="1"/>
  <c r="F358" i="2" l="1"/>
  <c r="H358" i="2" s="1"/>
  <c r="I358" i="2" s="1"/>
  <c r="D359" i="2" s="1"/>
  <c r="F359" i="2" l="1"/>
  <c r="H359" i="2" s="1"/>
  <c r="I359" i="2" s="1"/>
  <c r="D360" i="2" s="1"/>
  <c r="F360" i="2" l="1"/>
  <c r="H360" i="2" s="1"/>
  <c r="I360" i="2" s="1"/>
  <c r="D361" i="2" s="1"/>
  <c r="F361" i="2" l="1"/>
  <c r="H361" i="2" s="1"/>
  <c r="I361" i="2" s="1"/>
  <c r="D362" i="2" s="1"/>
  <c r="F362" i="2" l="1"/>
  <c r="H362" i="2" s="1"/>
  <c r="I362" i="2" s="1"/>
  <c r="D363" i="2" s="1"/>
  <c r="F363" i="2" l="1"/>
  <c r="H363" i="2" s="1"/>
  <c r="I363" i="2" s="1"/>
  <c r="D364" i="2" s="1"/>
  <c r="F364" i="2" l="1"/>
  <c r="H364" i="2" s="1"/>
  <c r="I364" i="2" s="1"/>
  <c r="D365" i="2" s="1"/>
  <c r="F365" i="2" l="1"/>
  <c r="H365" i="2" s="1"/>
  <c r="I365" i="2" s="1"/>
  <c r="D366" i="2" s="1"/>
  <c r="F366" i="2" l="1"/>
  <c r="H366" i="2" s="1"/>
  <c r="I366" i="2" s="1"/>
  <c r="D367" i="2" s="1"/>
  <c r="F367" i="2" l="1"/>
  <c r="H367" i="2" s="1"/>
  <c r="I367" i="2" s="1"/>
  <c r="D368" i="2" s="1"/>
  <c r="F368" i="2" l="1"/>
  <c r="H368" i="2" s="1"/>
  <c r="I368" i="2"/>
  <c r="D369" i="2" s="1"/>
  <c r="F369" i="2" l="1"/>
  <c r="H369" i="2" s="1"/>
  <c r="I369" i="2" s="1"/>
  <c r="D370" i="2" s="1"/>
  <c r="F370" i="2" l="1"/>
  <c r="H370" i="2" s="1"/>
  <c r="I370" i="2" s="1"/>
  <c r="D371" i="2" s="1"/>
  <c r="F371" i="2" l="1"/>
  <c r="H371" i="2" s="1"/>
  <c r="I371" i="2" s="1"/>
  <c r="D372" i="2" s="1"/>
  <c r="F372" i="2" l="1"/>
  <c r="H372" i="2" s="1"/>
  <c r="I372" i="2" s="1"/>
  <c r="D373" i="2" s="1"/>
  <c r="F373" i="2" l="1"/>
  <c r="H373" i="2" s="1"/>
  <c r="I373" i="2" s="1"/>
  <c r="D374" i="2" s="1"/>
  <c r="F374" i="2" l="1"/>
  <c r="H374" i="2" s="1"/>
  <c r="I374" i="2" s="1"/>
  <c r="D375" i="2" s="1"/>
  <c r="F375" i="2" l="1"/>
  <c r="H375" i="2" s="1"/>
  <c r="I375" i="2" s="1"/>
  <c r="D376" i="2" s="1"/>
  <c r="F376" i="2" l="1"/>
  <c r="H376" i="2" s="1"/>
  <c r="I376" i="2" s="1"/>
  <c r="D377" i="2" s="1"/>
  <c r="F377" i="2" l="1"/>
  <c r="H377" i="2" s="1"/>
  <c r="I377" i="2" s="1"/>
  <c r="D378" i="2" s="1"/>
  <c r="F378" i="2" l="1"/>
  <c r="H378" i="2" s="1"/>
  <c r="I378" i="2" s="1"/>
  <c r="D379" i="2" s="1"/>
  <c r="F379" i="2" l="1"/>
  <c r="H379" i="2" s="1"/>
  <c r="I379" i="2" s="1"/>
  <c r="D380" i="2" s="1"/>
  <c r="F380" i="2" l="1"/>
  <c r="H380" i="2" s="1"/>
  <c r="I380" i="2" s="1"/>
  <c r="D381" i="2" s="1"/>
  <c r="F381" i="2" l="1"/>
  <c r="H381" i="2" s="1"/>
  <c r="I381" i="2" s="1"/>
  <c r="D382" i="2" s="1"/>
  <c r="F382" i="2" l="1"/>
  <c r="H382" i="2" s="1"/>
  <c r="I382" i="2" s="1"/>
  <c r="D383" i="2" s="1"/>
  <c r="F383" i="2" l="1"/>
  <c r="H383" i="2" s="1"/>
  <c r="I383" i="2" s="1"/>
  <c r="D384" i="2" s="1"/>
  <c r="F384" i="2" l="1"/>
  <c r="H384" i="2" s="1"/>
  <c r="I384" i="2" s="1"/>
  <c r="D385" i="2" s="1"/>
  <c r="F385" i="2" l="1"/>
  <c r="H385" i="2" s="1"/>
  <c r="I385" i="2" s="1"/>
  <c r="D386" i="2" s="1"/>
  <c r="F386" i="2" l="1"/>
  <c r="H386" i="2" s="1"/>
  <c r="I386" i="2" s="1"/>
  <c r="D387" i="2" s="1"/>
  <c r="F387" i="2" l="1"/>
  <c r="H387" i="2" s="1"/>
  <c r="I387" i="2" s="1"/>
  <c r="D388" i="2" s="1"/>
  <c r="F388" i="2" l="1"/>
  <c r="H388" i="2" s="1"/>
  <c r="I388" i="2" s="1"/>
  <c r="D389" i="2" s="1"/>
  <c r="F389" i="2" l="1"/>
  <c r="H389" i="2" s="1"/>
  <c r="I389" i="2" s="1"/>
  <c r="D390" i="2" s="1"/>
  <c r="F390" i="2" l="1"/>
  <c r="H390" i="2" s="1"/>
  <c r="I390" i="2" s="1"/>
  <c r="D391" i="2" s="1"/>
  <c r="F391" i="2" l="1"/>
  <c r="H391" i="2" s="1"/>
  <c r="I391" i="2" s="1"/>
  <c r="D392" i="2" s="1"/>
  <c r="F392" i="2" l="1"/>
  <c r="H392" i="2" s="1"/>
  <c r="I392" i="2" s="1"/>
  <c r="D393" i="2" s="1"/>
  <c r="F393" i="2" l="1"/>
  <c r="H393" i="2" s="1"/>
  <c r="I393" i="2" s="1"/>
  <c r="D394" i="2" s="1"/>
  <c r="F394" i="2" l="1"/>
  <c r="H394" i="2" s="1"/>
  <c r="I394" i="2" s="1"/>
  <c r="D395" i="2" s="1"/>
  <c r="F395" i="2" l="1"/>
  <c r="H395" i="2" s="1"/>
  <c r="I395" i="2" s="1"/>
  <c r="D396" i="2" s="1"/>
  <c r="F396" i="2" l="1"/>
  <c r="H396" i="2" s="1"/>
  <c r="I396" i="2" s="1"/>
  <c r="D397" i="2" s="1"/>
  <c r="F397" i="2" l="1"/>
  <c r="H397" i="2" s="1"/>
  <c r="I397" i="2" s="1"/>
  <c r="D398" i="2" s="1"/>
  <c r="F398" i="2" l="1"/>
  <c r="H398" i="2" s="1"/>
  <c r="I398" i="2" s="1"/>
  <c r="D399" i="2" s="1"/>
  <c r="F399" i="2" l="1"/>
  <c r="H399" i="2" s="1"/>
  <c r="I399" i="2" s="1"/>
  <c r="D400" i="2" s="1"/>
  <c r="F400" i="2" l="1"/>
  <c r="H400" i="2" s="1"/>
  <c r="I400" i="2" s="1"/>
  <c r="D401" i="2" s="1"/>
  <c r="F401" i="2" l="1"/>
  <c r="H401" i="2" s="1"/>
  <c r="I401" i="2" s="1"/>
  <c r="D402" i="2" s="1"/>
  <c r="F402" i="2" l="1"/>
  <c r="H402" i="2" s="1"/>
  <c r="I402" i="2" s="1"/>
  <c r="D403" i="2" s="1"/>
  <c r="F403" i="2" l="1"/>
  <c r="H403" i="2" s="1"/>
  <c r="I403" i="2" s="1"/>
  <c r="D404" i="2" s="1"/>
  <c r="F404" i="2" l="1"/>
  <c r="H404" i="2" s="1"/>
  <c r="I404" i="2" s="1"/>
  <c r="D405" i="2" s="1"/>
  <c r="F405" i="2" l="1"/>
  <c r="H405" i="2" s="1"/>
  <c r="I405" i="2" s="1"/>
  <c r="D406" i="2" s="1"/>
  <c r="F406" i="2" l="1"/>
  <c r="H406" i="2" s="1"/>
  <c r="I406" i="2" s="1"/>
  <c r="D407" i="2" s="1"/>
  <c r="F407" i="2" l="1"/>
  <c r="H407" i="2" s="1"/>
  <c r="I407" i="2" s="1"/>
  <c r="D408" i="2" s="1"/>
  <c r="F408" i="2" l="1"/>
  <c r="H408" i="2" s="1"/>
  <c r="I408" i="2" s="1"/>
  <c r="D409" i="2" s="1"/>
  <c r="F409" i="2" l="1"/>
  <c r="H409" i="2" s="1"/>
  <c r="I409" i="2" s="1"/>
  <c r="D410" i="2" s="1"/>
  <c r="F410" i="2" l="1"/>
  <c r="H410" i="2" s="1"/>
  <c r="I410" i="2" s="1"/>
  <c r="D411" i="2" s="1"/>
  <c r="F411" i="2" l="1"/>
  <c r="H411" i="2" s="1"/>
  <c r="I411" i="2" s="1"/>
  <c r="D412" i="2" s="1"/>
  <c r="F412" i="2" l="1"/>
  <c r="H412" i="2" s="1"/>
  <c r="I412" i="2" s="1"/>
  <c r="D413" i="2" s="1"/>
  <c r="F413" i="2" l="1"/>
  <c r="H413" i="2" s="1"/>
  <c r="I413" i="2" s="1"/>
  <c r="D414" i="2" s="1"/>
  <c r="F414" i="2" l="1"/>
  <c r="H414" i="2" s="1"/>
  <c r="I414" i="2" s="1"/>
  <c r="D415" i="2" s="1"/>
  <c r="I415" i="2" l="1"/>
  <c r="D416" i="2" s="1"/>
  <c r="F415" i="2"/>
  <c r="H415" i="2" s="1"/>
  <c r="F416" i="2" l="1"/>
  <c r="H416" i="2" s="1"/>
  <c r="I416" i="2" s="1"/>
  <c r="D417" i="2" s="1"/>
  <c r="F417" i="2" l="1"/>
  <c r="H417" i="2" s="1"/>
  <c r="I417" i="2" s="1"/>
  <c r="D418" i="2" s="1"/>
  <c r="F418" i="2" l="1"/>
  <c r="H418" i="2" s="1"/>
  <c r="I418" i="2" s="1"/>
  <c r="D419" i="2" s="1"/>
  <c r="F419" i="2" l="1"/>
  <c r="H419" i="2" s="1"/>
  <c r="I419" i="2" s="1"/>
  <c r="D420" i="2" s="1"/>
  <c r="F420" i="2" l="1"/>
  <c r="H420" i="2" s="1"/>
  <c r="I420" i="2" s="1"/>
  <c r="D421" i="2" s="1"/>
  <c r="F421" i="2" l="1"/>
  <c r="B20" i="1" l="1"/>
  <c r="H421" i="2"/>
  <c r="I421" i="2" s="1"/>
</calcChain>
</file>

<file path=xl/sharedStrings.xml><?xml version="1.0" encoding="utf-8"?>
<sst xmlns="http://schemas.openxmlformats.org/spreadsheetml/2006/main" count="35" uniqueCount="35">
  <si>
    <t>HELOC Payment Calculator</t>
  </si>
  <si>
    <t>Home Equity Line of Credit — draw period &amp; repayment period amortization</t>
  </si>
  <si>
    <t>INPUTS  (edit the yellow cells)</t>
  </si>
  <si>
    <t>Credit Limit</t>
  </si>
  <si>
    <t>Amount Drawn (initial)</t>
  </si>
  <si>
    <t>Additional Monthly Draw</t>
  </si>
  <si>
    <t>Annual Interest Rate (APR)</t>
  </si>
  <si>
    <t>Draw Period (years)</t>
  </si>
  <si>
    <t>Repayment Period (years)</t>
  </si>
  <si>
    <t>First Payment Date</t>
  </si>
  <si>
    <t>SUMMARY  (calculated)</t>
  </si>
  <si>
    <t>Legend</t>
  </si>
  <si>
    <t>Draw Period (months)</t>
  </si>
  <si>
    <t>Blue text on yellow fill = input cell you can edit</t>
  </si>
  <si>
    <t>Repayment Period (months)</t>
  </si>
  <si>
    <t>Black text = calculated formula (do not overwrite)</t>
  </si>
  <si>
    <t>Total Term (months)</t>
  </si>
  <si>
    <t>Blue table rows = Draw Period (interest-only payments)</t>
  </si>
  <si>
    <t>Balance at Start of Repayment</t>
  </si>
  <si>
    <t>Orange table rows = Repayment Period (fixed amortizing payment)</t>
  </si>
  <si>
    <t>Fixed Repayment Payment</t>
  </si>
  <si>
    <t>Full month-by-month schedule is on the "Amortization Schedule" tab</t>
  </si>
  <si>
    <t>First Month Interest-Only Payment</t>
  </si>
  <si>
    <t>Total Interest Paid (life of loan)</t>
  </si>
  <si>
    <t>Total Amount Paid (life of loan)</t>
  </si>
  <si>
    <t>Month</t>
  </si>
  <si>
    <t>Date</t>
  </si>
  <si>
    <t>Phase</t>
  </si>
  <si>
    <t>Beginning Balance</t>
  </si>
  <si>
    <t>Draw Amount</t>
  </si>
  <si>
    <t>Interest</t>
  </si>
  <si>
    <t>Payment</t>
  </si>
  <si>
    <t>Principal</t>
  </si>
  <si>
    <t>Ending Balance</t>
  </si>
  <si>
    <t>Today's HELOC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</si>
</sst>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&quot;($&quot;#,##0\);\-"/>
    <numFmt numFmtId="165" formatCode="0.000%"/>
    <numFmt numFmtId="166" formatCode="mm/dd/yyyy"/>
    <numFmt numFmtId="167" formatCode="\$#,##0.00;&quot;($&quot;#,##0.00\);\-"/>
  </numFmts>
  <fonts count="10" x14ac:knownFonts="1">
    <font>
      <sz val="11"/>
      <color theme="1"/>
      <name val="Calibri"/>
      <family val="2"/>
      <charset val="1"/>
    </font>
    <font>
      <b/>
      <sz val="16"/>
      <color rgb="FF1F4E78"/>
      <name val="Arial"/>
      <charset val="1"/>
    </font>
    <font>
      <i/>
      <sz val="10"/>
      <color rgb="FF595959"/>
      <name val="Arial"/>
      <charset val="1"/>
    </font>
    <font>
      <b/>
      <sz val="12"/>
      <color rgb="FFFFFFFF"/>
      <name val="Arial"/>
      <charset val="1"/>
    </font>
    <font>
      <sz val="11"/>
      <color rgb="FF000000"/>
      <name val="Arial"/>
      <charset val="1"/>
    </font>
    <font>
      <sz val="11"/>
      <color rgb="FF0000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0" fontId="3" fillId="2" borderId="0" xfId="0" applyFont="1" applyFill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" fontId="5" fillId="3" borderId="1" xfId="0" applyNumberFormat="1" applyFont="1" applyFill="1" applyBorder="1"/>
    <xf numFmtId="166" fontId="5" fillId="3" borderId="1" xfId="0" applyNumberFormat="1" applyFont="1" applyFill="1" applyBorder="1"/>
    <xf numFmtId="1" fontId="4" fillId="0" borderId="1" xfId="0" applyNumberFormat="1" applyFont="1" applyBorder="1"/>
    <xf numFmtId="167" fontId="4" fillId="0" borderId="1" xfId="0" applyNumberFormat="1" applyFont="1" applyBorder="1"/>
    <xf numFmtId="0" fontId="8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/>
    <xf numFmtId="167" fontId="6" fillId="0" borderId="1" xfId="0" applyNumberFormat="1" applyFont="1" applyBorder="1"/>
    <xf numFmtId="0" fontId="9" fillId="0" borderId="0" xfId="1"/>
  </cellXfs>
  <cellStyles count="2">
    <cellStyle name="Hyperlink" xfId="1" builtinId="8"/>
    <cellStyle name="Normal" xfId="0" builtinId="0"/>
  </cellStyles>
  <dxfs count="2">
    <dxf>
      <fill>
        <patternFill>
          <bgColor rgb="FFFCE4D6"/>
        </patternFill>
      </fill>
    </dxf>
    <dxf>
      <fill>
        <patternFill>
          <bgColor rgb="FFDDEBF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CE4D6"/>
      <rgbColor rgb="FFDD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occalculator.org/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zoomScaleNormal="100" workbookViewId="0">
      <selection activeCell="D6" sqref="D6"/>
    </sheetView>
  </sheetViews>
  <sheetFormatPr defaultColWidth="8.6640625" defaultRowHeight="14.4" x14ac:dyDescent="0.3"/>
  <cols>
    <col min="1" max="1" width="30" customWidth="1"/>
    <col min="2" max="2" width="18" customWidth="1"/>
    <col min="3" max="3" width="4" customWidth="1"/>
    <col min="4" max="4" width="30" customWidth="1"/>
    <col min="5" max="5" width="18" customWidth="1"/>
    <col min="6" max="6" width="4" customWidth="1"/>
    <col min="7" max="7" width="40" customWidth="1"/>
  </cols>
  <sheetData>
    <row r="1" spans="1:7" ht="19.5" customHeight="1" x14ac:dyDescent="0.4">
      <c r="A1" s="4" t="s">
        <v>0</v>
      </c>
      <c r="B1" s="4"/>
      <c r="C1" s="4"/>
      <c r="D1" s="4"/>
      <c r="E1" s="4"/>
      <c r="F1" s="4"/>
      <c r="G1" s="4"/>
    </row>
    <row r="2" spans="1:7" ht="15" customHeight="1" x14ac:dyDescent="0.3">
      <c r="A2" s="3" t="s">
        <v>1</v>
      </c>
      <c r="B2" s="3"/>
      <c r="C2" s="3"/>
      <c r="D2" s="3"/>
      <c r="E2" s="3"/>
      <c r="F2" s="3"/>
      <c r="G2" s="3"/>
    </row>
    <row r="4" spans="1:7" ht="15" customHeight="1" x14ac:dyDescent="0.3">
      <c r="A4" s="2" t="s">
        <v>2</v>
      </c>
      <c r="B4" s="2"/>
      <c r="D4" s="16" t="s">
        <v>34</v>
      </c>
    </row>
    <row r="5" spans="1:7" ht="15" customHeight="1" x14ac:dyDescent="0.3">
      <c r="A5" s="5" t="s">
        <v>3</v>
      </c>
      <c r="B5" s="6">
        <v>60000</v>
      </c>
      <c r="D5" s="16"/>
    </row>
    <row r="6" spans="1:7" ht="15" customHeight="1" x14ac:dyDescent="0.3">
      <c r="A6" s="5" t="s">
        <v>4</v>
      </c>
      <c r="B6" s="6">
        <v>45000</v>
      </c>
    </row>
    <row r="7" spans="1:7" ht="15" customHeight="1" x14ac:dyDescent="0.3">
      <c r="A7" s="5" t="s">
        <v>5</v>
      </c>
      <c r="B7" s="6">
        <v>0</v>
      </c>
    </row>
    <row r="8" spans="1:7" ht="15" customHeight="1" x14ac:dyDescent="0.3">
      <c r="A8" s="5" t="s">
        <v>6</v>
      </c>
      <c r="B8" s="7">
        <v>8.5000000000000006E-2</v>
      </c>
    </row>
    <row r="9" spans="1:7" ht="15" customHeight="1" x14ac:dyDescent="0.3">
      <c r="A9" s="5" t="s">
        <v>7</v>
      </c>
      <c r="B9" s="8">
        <v>10</v>
      </c>
    </row>
    <row r="10" spans="1:7" ht="15" customHeight="1" x14ac:dyDescent="0.3">
      <c r="A10" s="5" t="s">
        <v>8</v>
      </c>
      <c r="B10" s="8">
        <v>25</v>
      </c>
    </row>
    <row r="11" spans="1:7" ht="15" customHeight="1" x14ac:dyDescent="0.3">
      <c r="A11" s="5" t="s">
        <v>9</v>
      </c>
      <c r="B11" s="9">
        <v>46204</v>
      </c>
    </row>
    <row r="13" spans="1:7" ht="15" customHeight="1" x14ac:dyDescent="0.3">
      <c r="A13" s="2" t="s">
        <v>10</v>
      </c>
      <c r="B13" s="2"/>
      <c r="D13" s="2" t="s">
        <v>11</v>
      </c>
      <c r="E13" s="2"/>
      <c r="F13" s="2"/>
      <c r="G13" s="2"/>
    </row>
    <row r="14" spans="1:7" ht="15" customHeight="1" x14ac:dyDescent="0.3">
      <c r="A14" s="5" t="s">
        <v>12</v>
      </c>
      <c r="B14" s="10">
        <f>$B$9*12</f>
        <v>120</v>
      </c>
      <c r="D14" s="1" t="s">
        <v>13</v>
      </c>
      <c r="E14" s="1"/>
      <c r="F14" s="1"/>
      <c r="G14" s="1"/>
    </row>
    <row r="15" spans="1:7" ht="15" customHeight="1" x14ac:dyDescent="0.3">
      <c r="A15" s="5" t="s">
        <v>14</v>
      </c>
      <c r="B15" s="10">
        <f>$B$10*12</f>
        <v>300</v>
      </c>
      <c r="D15" s="1" t="s">
        <v>15</v>
      </c>
      <c r="E15" s="1"/>
      <c r="F15" s="1"/>
      <c r="G15" s="1"/>
    </row>
    <row r="16" spans="1:7" ht="15" customHeight="1" x14ac:dyDescent="0.3">
      <c r="A16" s="5" t="s">
        <v>16</v>
      </c>
      <c r="B16" s="10">
        <f>B14+B15</f>
        <v>420</v>
      </c>
      <c r="D16" s="1" t="s">
        <v>17</v>
      </c>
      <c r="E16" s="1"/>
      <c r="F16" s="1"/>
      <c r="G16" s="1"/>
    </row>
    <row r="17" spans="1:7" ht="15" customHeight="1" x14ac:dyDescent="0.3">
      <c r="A17" s="5" t="s">
        <v>18</v>
      </c>
      <c r="B17" s="11">
        <f>INDEX('Amortization Schedule'!D2:D481,$B$14+1)</f>
        <v>45000</v>
      </c>
      <c r="D17" s="1" t="s">
        <v>19</v>
      </c>
      <c r="E17" s="1"/>
      <c r="F17" s="1"/>
      <c r="G17" s="1"/>
    </row>
    <row r="18" spans="1:7" ht="15" customHeight="1" x14ac:dyDescent="0.3">
      <c r="A18" s="5" t="s">
        <v>20</v>
      </c>
      <c r="B18" s="11">
        <f>IF($B$15&gt;0,-PMT($B$8/12,$B$15,$B$17),0)</f>
        <v>362.35218755795904</v>
      </c>
      <c r="D18" s="1" t="s">
        <v>21</v>
      </c>
      <c r="E18" s="1"/>
      <c r="F18" s="1"/>
      <c r="G18" s="1"/>
    </row>
    <row r="19" spans="1:7" ht="15" customHeight="1" x14ac:dyDescent="0.3">
      <c r="A19" s="5" t="s">
        <v>22</v>
      </c>
      <c r="B19" s="11">
        <f>$B$6*($B$8/12)</f>
        <v>318.75</v>
      </c>
    </row>
    <row r="20" spans="1:7" ht="15" customHeight="1" x14ac:dyDescent="0.3">
      <c r="A20" s="5" t="s">
        <v>23</v>
      </c>
      <c r="B20" s="11">
        <f>SUM('Amortization Schedule'!F2:F481)</f>
        <v>101955.65626738784</v>
      </c>
    </row>
    <row r="21" spans="1:7" ht="15" customHeight="1" x14ac:dyDescent="0.3">
      <c r="A21" s="5" t="s">
        <v>24</v>
      </c>
      <c r="B21" s="11">
        <f>SUM('Amortization Schedule'!G2:G481)</f>
        <v>146955.65626738826</v>
      </c>
    </row>
  </sheetData>
  <mergeCells count="10">
    <mergeCell ref="D14:G14"/>
    <mergeCell ref="D15:G15"/>
    <mergeCell ref="D16:G16"/>
    <mergeCell ref="D17:G17"/>
    <mergeCell ref="D18:G18"/>
    <mergeCell ref="A1:G1"/>
    <mergeCell ref="A2:G2"/>
    <mergeCell ref="A4:B4"/>
    <mergeCell ref="A13:B13"/>
    <mergeCell ref="D13:G13"/>
  </mergeCells>
  <hyperlinks>
    <hyperlink ref="D4" r:id="rId1" xr:uid="{1D79702D-CE5D-426B-8036-138C2F715BEB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1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8" customWidth="1"/>
    <col min="2" max="3" width="12" customWidth="1"/>
    <col min="4" max="4" width="20" customWidth="1"/>
    <col min="5" max="8" width="14" customWidth="1"/>
    <col min="9" max="9" width="20" customWidth="1"/>
  </cols>
  <sheetData>
    <row r="1" spans="1:9" ht="15" customHeight="1" x14ac:dyDescent="0.3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 t="s">
        <v>33</v>
      </c>
    </row>
    <row r="2" spans="1:9" ht="15" customHeight="1" x14ac:dyDescent="0.3">
      <c r="A2" s="13">
        <f>IF(1&lt;='HELOC Calculator'!$B$16,1,"")</f>
        <v>1</v>
      </c>
      <c r="B2" s="14">
        <f>IF($A2="","",'HELOC Calculator'!$B$11)</f>
        <v>46204</v>
      </c>
      <c r="C2" s="13" t="str">
        <f>IF($A2="","",IF($A2&lt;='HELOC Calculator'!$B$14,"Draw","Repayment"))</f>
        <v>Draw</v>
      </c>
      <c r="D2" s="15">
        <f>IF($A2="","",'HELOC Calculator'!$B$6)</f>
        <v>45000</v>
      </c>
      <c r="E2" s="15">
        <f>IF($A2="","",0)</f>
        <v>0</v>
      </c>
      <c r="F2" s="15">
        <f>IF($A2="","",$D2*('HELOC Calculator'!$B$8/12))</f>
        <v>318.75</v>
      </c>
      <c r="G2" s="15">
        <f>IF($A2="","",IF($C2="Draw",$F2,'HELOC Calculator'!$B$18))</f>
        <v>318.75</v>
      </c>
      <c r="H2" s="15">
        <f t="shared" ref="H2:H65" si="0">IF($A2="","",IF($C2="Draw",0,MAX($G2-$F2,0)))</f>
        <v>0</v>
      </c>
      <c r="I2" s="15">
        <f t="shared" ref="I2:I65" si="1">IF($A2="","",MAX($D2+$E2-$H2,0))</f>
        <v>45000</v>
      </c>
    </row>
    <row r="3" spans="1:9" ht="15" customHeight="1" x14ac:dyDescent="0.3">
      <c r="A3" s="13">
        <f>IF(2&lt;='HELOC Calculator'!$B$16,2,"")</f>
        <v>2</v>
      </c>
      <c r="B3" s="14">
        <f t="shared" ref="B3:B66" si="2">IF($A3="","",EDATE($B2,1))</f>
        <v>46235</v>
      </c>
      <c r="C3" s="13" t="str">
        <f>IF($A3="","",IF($A3&lt;='HELOC Calculator'!$B$14,"Draw","Repayment"))</f>
        <v>Draw</v>
      </c>
      <c r="D3" s="15">
        <f t="shared" ref="D3:D66" si="3">IF($A3="","",$I2)</f>
        <v>45000</v>
      </c>
      <c r="E3" s="15">
        <f>IF($A3="","",IF($C3="Draw",'HELOC Calculator'!$B$7,0))</f>
        <v>0</v>
      </c>
      <c r="F3" s="15">
        <f>IF($A3="","",$D3*('HELOC Calculator'!$B$8/12))</f>
        <v>318.75</v>
      </c>
      <c r="G3" s="15">
        <f>IF($A3="","",IF($C3="Draw",$F3,'HELOC Calculator'!$B$18))</f>
        <v>318.75</v>
      </c>
      <c r="H3" s="15">
        <f t="shared" si="0"/>
        <v>0</v>
      </c>
      <c r="I3" s="15">
        <f t="shared" si="1"/>
        <v>45000</v>
      </c>
    </row>
    <row r="4" spans="1:9" ht="15" customHeight="1" x14ac:dyDescent="0.3">
      <c r="A4" s="13">
        <f>IF(3&lt;='HELOC Calculator'!$B$16,3,"")</f>
        <v>3</v>
      </c>
      <c r="B4" s="14">
        <f t="shared" si="2"/>
        <v>46266</v>
      </c>
      <c r="C4" s="13" t="str">
        <f>IF($A4="","",IF($A4&lt;='HELOC Calculator'!$B$14,"Draw","Repayment"))</f>
        <v>Draw</v>
      </c>
      <c r="D4" s="15">
        <f t="shared" si="3"/>
        <v>45000</v>
      </c>
      <c r="E4" s="15">
        <f>IF($A4="","",IF($C4="Draw",'HELOC Calculator'!$B$7,0))</f>
        <v>0</v>
      </c>
      <c r="F4" s="15">
        <f>IF($A4="","",$D4*('HELOC Calculator'!$B$8/12))</f>
        <v>318.75</v>
      </c>
      <c r="G4" s="15">
        <f>IF($A4="","",IF($C4="Draw",$F4,'HELOC Calculator'!$B$18))</f>
        <v>318.75</v>
      </c>
      <c r="H4" s="15">
        <f t="shared" si="0"/>
        <v>0</v>
      </c>
      <c r="I4" s="15">
        <f t="shared" si="1"/>
        <v>45000</v>
      </c>
    </row>
    <row r="5" spans="1:9" ht="15" customHeight="1" x14ac:dyDescent="0.3">
      <c r="A5" s="13">
        <f>IF(4&lt;='HELOC Calculator'!$B$16,4,"")</f>
        <v>4</v>
      </c>
      <c r="B5" s="14">
        <f t="shared" si="2"/>
        <v>46296</v>
      </c>
      <c r="C5" s="13" t="str">
        <f>IF($A5="","",IF($A5&lt;='HELOC Calculator'!$B$14,"Draw","Repayment"))</f>
        <v>Draw</v>
      </c>
      <c r="D5" s="15">
        <f t="shared" si="3"/>
        <v>45000</v>
      </c>
      <c r="E5" s="15">
        <f>IF($A5="","",IF($C5="Draw",'HELOC Calculator'!$B$7,0))</f>
        <v>0</v>
      </c>
      <c r="F5" s="15">
        <f>IF($A5="","",$D5*('HELOC Calculator'!$B$8/12))</f>
        <v>318.75</v>
      </c>
      <c r="G5" s="15">
        <f>IF($A5="","",IF($C5="Draw",$F5,'HELOC Calculator'!$B$18))</f>
        <v>318.75</v>
      </c>
      <c r="H5" s="15">
        <f t="shared" si="0"/>
        <v>0</v>
      </c>
      <c r="I5" s="15">
        <f t="shared" si="1"/>
        <v>45000</v>
      </c>
    </row>
    <row r="6" spans="1:9" ht="15" customHeight="1" x14ac:dyDescent="0.3">
      <c r="A6" s="13">
        <f>IF(5&lt;='HELOC Calculator'!$B$16,5,"")</f>
        <v>5</v>
      </c>
      <c r="B6" s="14">
        <f t="shared" si="2"/>
        <v>46327</v>
      </c>
      <c r="C6" s="13" t="str">
        <f>IF($A6="","",IF($A6&lt;='HELOC Calculator'!$B$14,"Draw","Repayment"))</f>
        <v>Draw</v>
      </c>
      <c r="D6" s="15">
        <f t="shared" si="3"/>
        <v>45000</v>
      </c>
      <c r="E6" s="15">
        <f>IF($A6="","",IF($C6="Draw",'HELOC Calculator'!$B$7,0))</f>
        <v>0</v>
      </c>
      <c r="F6" s="15">
        <f>IF($A6="","",$D6*('HELOC Calculator'!$B$8/12))</f>
        <v>318.75</v>
      </c>
      <c r="G6" s="15">
        <f>IF($A6="","",IF($C6="Draw",$F6,'HELOC Calculator'!$B$18))</f>
        <v>318.75</v>
      </c>
      <c r="H6" s="15">
        <f t="shared" si="0"/>
        <v>0</v>
      </c>
      <c r="I6" s="15">
        <f t="shared" si="1"/>
        <v>45000</v>
      </c>
    </row>
    <row r="7" spans="1:9" ht="15" customHeight="1" x14ac:dyDescent="0.3">
      <c r="A7" s="13">
        <f>IF(6&lt;='HELOC Calculator'!$B$16,6,"")</f>
        <v>6</v>
      </c>
      <c r="B7" s="14">
        <f t="shared" si="2"/>
        <v>46357</v>
      </c>
      <c r="C7" s="13" t="str">
        <f>IF($A7="","",IF($A7&lt;='HELOC Calculator'!$B$14,"Draw","Repayment"))</f>
        <v>Draw</v>
      </c>
      <c r="D7" s="15">
        <f t="shared" si="3"/>
        <v>45000</v>
      </c>
      <c r="E7" s="15">
        <f>IF($A7="","",IF($C7="Draw",'HELOC Calculator'!$B$7,0))</f>
        <v>0</v>
      </c>
      <c r="F7" s="15">
        <f>IF($A7="","",$D7*('HELOC Calculator'!$B$8/12))</f>
        <v>318.75</v>
      </c>
      <c r="G7" s="15">
        <f>IF($A7="","",IF($C7="Draw",$F7,'HELOC Calculator'!$B$18))</f>
        <v>318.75</v>
      </c>
      <c r="H7" s="15">
        <f t="shared" si="0"/>
        <v>0</v>
      </c>
      <c r="I7" s="15">
        <f t="shared" si="1"/>
        <v>45000</v>
      </c>
    </row>
    <row r="8" spans="1:9" ht="15" customHeight="1" x14ac:dyDescent="0.3">
      <c r="A8" s="13">
        <f>IF(7&lt;='HELOC Calculator'!$B$16,7,"")</f>
        <v>7</v>
      </c>
      <c r="B8" s="14">
        <f t="shared" si="2"/>
        <v>46388</v>
      </c>
      <c r="C8" s="13" t="str">
        <f>IF($A8="","",IF($A8&lt;='HELOC Calculator'!$B$14,"Draw","Repayment"))</f>
        <v>Draw</v>
      </c>
      <c r="D8" s="15">
        <f t="shared" si="3"/>
        <v>45000</v>
      </c>
      <c r="E8" s="15">
        <f>IF($A8="","",IF($C8="Draw",'HELOC Calculator'!$B$7,0))</f>
        <v>0</v>
      </c>
      <c r="F8" s="15">
        <f>IF($A8="","",$D8*('HELOC Calculator'!$B$8/12))</f>
        <v>318.75</v>
      </c>
      <c r="G8" s="15">
        <f>IF($A8="","",IF($C8="Draw",$F8,'HELOC Calculator'!$B$18))</f>
        <v>318.75</v>
      </c>
      <c r="H8" s="15">
        <f t="shared" si="0"/>
        <v>0</v>
      </c>
      <c r="I8" s="15">
        <f t="shared" si="1"/>
        <v>45000</v>
      </c>
    </row>
    <row r="9" spans="1:9" ht="15" customHeight="1" x14ac:dyDescent="0.3">
      <c r="A9" s="13">
        <f>IF(8&lt;='HELOC Calculator'!$B$16,8,"")</f>
        <v>8</v>
      </c>
      <c r="B9" s="14">
        <f t="shared" si="2"/>
        <v>46419</v>
      </c>
      <c r="C9" s="13" t="str">
        <f>IF($A9="","",IF($A9&lt;='HELOC Calculator'!$B$14,"Draw","Repayment"))</f>
        <v>Draw</v>
      </c>
      <c r="D9" s="15">
        <f t="shared" si="3"/>
        <v>45000</v>
      </c>
      <c r="E9" s="15">
        <f>IF($A9="","",IF($C9="Draw",'HELOC Calculator'!$B$7,0))</f>
        <v>0</v>
      </c>
      <c r="F9" s="15">
        <f>IF($A9="","",$D9*('HELOC Calculator'!$B$8/12))</f>
        <v>318.75</v>
      </c>
      <c r="G9" s="15">
        <f>IF($A9="","",IF($C9="Draw",$F9,'HELOC Calculator'!$B$18))</f>
        <v>318.75</v>
      </c>
      <c r="H9" s="15">
        <f t="shared" si="0"/>
        <v>0</v>
      </c>
      <c r="I9" s="15">
        <f t="shared" si="1"/>
        <v>45000</v>
      </c>
    </row>
    <row r="10" spans="1:9" ht="15" customHeight="1" x14ac:dyDescent="0.3">
      <c r="A10" s="13">
        <f>IF(9&lt;='HELOC Calculator'!$B$16,9,"")</f>
        <v>9</v>
      </c>
      <c r="B10" s="14">
        <f t="shared" si="2"/>
        <v>46447</v>
      </c>
      <c r="C10" s="13" t="str">
        <f>IF($A10="","",IF($A10&lt;='HELOC Calculator'!$B$14,"Draw","Repayment"))</f>
        <v>Draw</v>
      </c>
      <c r="D10" s="15">
        <f t="shared" si="3"/>
        <v>45000</v>
      </c>
      <c r="E10" s="15">
        <f>IF($A10="","",IF($C10="Draw",'HELOC Calculator'!$B$7,0))</f>
        <v>0</v>
      </c>
      <c r="F10" s="15">
        <f>IF($A10="","",$D10*('HELOC Calculator'!$B$8/12))</f>
        <v>318.75</v>
      </c>
      <c r="G10" s="15">
        <f>IF($A10="","",IF($C10="Draw",$F10,'HELOC Calculator'!$B$18))</f>
        <v>318.75</v>
      </c>
      <c r="H10" s="15">
        <f t="shared" si="0"/>
        <v>0</v>
      </c>
      <c r="I10" s="15">
        <f t="shared" si="1"/>
        <v>45000</v>
      </c>
    </row>
    <row r="11" spans="1:9" ht="15" customHeight="1" x14ac:dyDescent="0.3">
      <c r="A11" s="13">
        <f>IF(10&lt;='HELOC Calculator'!$B$16,10,"")</f>
        <v>10</v>
      </c>
      <c r="B11" s="14">
        <f t="shared" si="2"/>
        <v>46478</v>
      </c>
      <c r="C11" s="13" t="str">
        <f>IF($A11="","",IF($A11&lt;='HELOC Calculator'!$B$14,"Draw","Repayment"))</f>
        <v>Draw</v>
      </c>
      <c r="D11" s="15">
        <f t="shared" si="3"/>
        <v>45000</v>
      </c>
      <c r="E11" s="15">
        <f>IF($A11="","",IF($C11="Draw",'HELOC Calculator'!$B$7,0))</f>
        <v>0</v>
      </c>
      <c r="F11" s="15">
        <f>IF($A11="","",$D11*('HELOC Calculator'!$B$8/12))</f>
        <v>318.75</v>
      </c>
      <c r="G11" s="15">
        <f>IF($A11="","",IF($C11="Draw",$F11,'HELOC Calculator'!$B$18))</f>
        <v>318.75</v>
      </c>
      <c r="H11" s="15">
        <f t="shared" si="0"/>
        <v>0</v>
      </c>
      <c r="I11" s="15">
        <f t="shared" si="1"/>
        <v>45000</v>
      </c>
    </row>
    <row r="12" spans="1:9" ht="15" customHeight="1" x14ac:dyDescent="0.3">
      <c r="A12" s="13">
        <f>IF(11&lt;='HELOC Calculator'!$B$16,11,"")</f>
        <v>11</v>
      </c>
      <c r="B12" s="14">
        <f t="shared" si="2"/>
        <v>46508</v>
      </c>
      <c r="C12" s="13" t="str">
        <f>IF($A12="","",IF($A12&lt;='HELOC Calculator'!$B$14,"Draw","Repayment"))</f>
        <v>Draw</v>
      </c>
      <c r="D12" s="15">
        <f t="shared" si="3"/>
        <v>45000</v>
      </c>
      <c r="E12" s="15">
        <f>IF($A12="","",IF($C12="Draw",'HELOC Calculator'!$B$7,0))</f>
        <v>0</v>
      </c>
      <c r="F12" s="15">
        <f>IF($A12="","",$D12*('HELOC Calculator'!$B$8/12))</f>
        <v>318.75</v>
      </c>
      <c r="G12" s="15">
        <f>IF($A12="","",IF($C12="Draw",$F12,'HELOC Calculator'!$B$18))</f>
        <v>318.75</v>
      </c>
      <c r="H12" s="15">
        <f t="shared" si="0"/>
        <v>0</v>
      </c>
      <c r="I12" s="15">
        <f t="shared" si="1"/>
        <v>45000</v>
      </c>
    </row>
    <row r="13" spans="1:9" ht="15" customHeight="1" x14ac:dyDescent="0.3">
      <c r="A13" s="13">
        <f>IF(12&lt;='HELOC Calculator'!$B$16,12,"")</f>
        <v>12</v>
      </c>
      <c r="B13" s="14">
        <f t="shared" si="2"/>
        <v>46539</v>
      </c>
      <c r="C13" s="13" t="str">
        <f>IF($A13="","",IF($A13&lt;='HELOC Calculator'!$B$14,"Draw","Repayment"))</f>
        <v>Draw</v>
      </c>
      <c r="D13" s="15">
        <f t="shared" si="3"/>
        <v>45000</v>
      </c>
      <c r="E13" s="15">
        <f>IF($A13="","",IF($C13="Draw",'HELOC Calculator'!$B$7,0))</f>
        <v>0</v>
      </c>
      <c r="F13" s="15">
        <f>IF($A13="","",$D13*('HELOC Calculator'!$B$8/12))</f>
        <v>318.75</v>
      </c>
      <c r="G13" s="15">
        <f>IF($A13="","",IF($C13="Draw",$F13,'HELOC Calculator'!$B$18))</f>
        <v>318.75</v>
      </c>
      <c r="H13" s="15">
        <f t="shared" si="0"/>
        <v>0</v>
      </c>
      <c r="I13" s="15">
        <f t="shared" si="1"/>
        <v>45000</v>
      </c>
    </row>
    <row r="14" spans="1:9" ht="15" customHeight="1" x14ac:dyDescent="0.3">
      <c r="A14" s="13">
        <f>IF(13&lt;='HELOC Calculator'!$B$16,13,"")</f>
        <v>13</v>
      </c>
      <c r="B14" s="14">
        <f t="shared" si="2"/>
        <v>46569</v>
      </c>
      <c r="C14" s="13" t="str">
        <f>IF($A14="","",IF($A14&lt;='HELOC Calculator'!$B$14,"Draw","Repayment"))</f>
        <v>Draw</v>
      </c>
      <c r="D14" s="15">
        <f t="shared" si="3"/>
        <v>45000</v>
      </c>
      <c r="E14" s="15">
        <f>IF($A14="","",IF($C14="Draw",'HELOC Calculator'!$B$7,0))</f>
        <v>0</v>
      </c>
      <c r="F14" s="15">
        <f>IF($A14="","",$D14*('HELOC Calculator'!$B$8/12))</f>
        <v>318.75</v>
      </c>
      <c r="G14" s="15">
        <f>IF($A14="","",IF($C14="Draw",$F14,'HELOC Calculator'!$B$18))</f>
        <v>318.75</v>
      </c>
      <c r="H14" s="15">
        <f t="shared" si="0"/>
        <v>0</v>
      </c>
      <c r="I14" s="15">
        <f t="shared" si="1"/>
        <v>45000</v>
      </c>
    </row>
    <row r="15" spans="1:9" ht="15" customHeight="1" x14ac:dyDescent="0.3">
      <c r="A15" s="13">
        <f>IF(14&lt;='HELOC Calculator'!$B$16,14,"")</f>
        <v>14</v>
      </c>
      <c r="B15" s="14">
        <f t="shared" si="2"/>
        <v>46600</v>
      </c>
      <c r="C15" s="13" t="str">
        <f>IF($A15="","",IF($A15&lt;='HELOC Calculator'!$B$14,"Draw","Repayment"))</f>
        <v>Draw</v>
      </c>
      <c r="D15" s="15">
        <f t="shared" si="3"/>
        <v>45000</v>
      </c>
      <c r="E15" s="15">
        <f>IF($A15="","",IF($C15="Draw",'HELOC Calculator'!$B$7,0))</f>
        <v>0</v>
      </c>
      <c r="F15" s="15">
        <f>IF($A15="","",$D15*('HELOC Calculator'!$B$8/12))</f>
        <v>318.75</v>
      </c>
      <c r="G15" s="15">
        <f>IF($A15="","",IF($C15="Draw",$F15,'HELOC Calculator'!$B$18))</f>
        <v>318.75</v>
      </c>
      <c r="H15" s="15">
        <f t="shared" si="0"/>
        <v>0</v>
      </c>
      <c r="I15" s="15">
        <f t="shared" si="1"/>
        <v>45000</v>
      </c>
    </row>
    <row r="16" spans="1:9" ht="15" customHeight="1" x14ac:dyDescent="0.3">
      <c r="A16" s="13">
        <f>IF(15&lt;='HELOC Calculator'!$B$16,15,"")</f>
        <v>15</v>
      </c>
      <c r="B16" s="14">
        <f t="shared" si="2"/>
        <v>46631</v>
      </c>
      <c r="C16" s="13" t="str">
        <f>IF($A16="","",IF($A16&lt;='HELOC Calculator'!$B$14,"Draw","Repayment"))</f>
        <v>Draw</v>
      </c>
      <c r="D16" s="15">
        <f t="shared" si="3"/>
        <v>45000</v>
      </c>
      <c r="E16" s="15">
        <f>IF($A16="","",IF($C16="Draw",'HELOC Calculator'!$B$7,0))</f>
        <v>0</v>
      </c>
      <c r="F16" s="15">
        <f>IF($A16="","",$D16*('HELOC Calculator'!$B$8/12))</f>
        <v>318.75</v>
      </c>
      <c r="G16" s="15">
        <f>IF($A16="","",IF($C16="Draw",$F16,'HELOC Calculator'!$B$18))</f>
        <v>318.75</v>
      </c>
      <c r="H16" s="15">
        <f t="shared" si="0"/>
        <v>0</v>
      </c>
      <c r="I16" s="15">
        <f t="shared" si="1"/>
        <v>45000</v>
      </c>
    </row>
    <row r="17" spans="1:9" ht="15" customHeight="1" x14ac:dyDescent="0.3">
      <c r="A17" s="13">
        <f>IF(16&lt;='HELOC Calculator'!$B$16,16,"")</f>
        <v>16</v>
      </c>
      <c r="B17" s="14">
        <f t="shared" si="2"/>
        <v>46661</v>
      </c>
      <c r="C17" s="13" t="str">
        <f>IF($A17="","",IF($A17&lt;='HELOC Calculator'!$B$14,"Draw","Repayment"))</f>
        <v>Draw</v>
      </c>
      <c r="D17" s="15">
        <f t="shared" si="3"/>
        <v>45000</v>
      </c>
      <c r="E17" s="15">
        <f>IF($A17="","",IF($C17="Draw",'HELOC Calculator'!$B$7,0))</f>
        <v>0</v>
      </c>
      <c r="F17" s="15">
        <f>IF($A17="","",$D17*('HELOC Calculator'!$B$8/12))</f>
        <v>318.75</v>
      </c>
      <c r="G17" s="15">
        <f>IF($A17="","",IF($C17="Draw",$F17,'HELOC Calculator'!$B$18))</f>
        <v>318.75</v>
      </c>
      <c r="H17" s="15">
        <f t="shared" si="0"/>
        <v>0</v>
      </c>
      <c r="I17" s="15">
        <f t="shared" si="1"/>
        <v>45000</v>
      </c>
    </row>
    <row r="18" spans="1:9" ht="15" customHeight="1" x14ac:dyDescent="0.3">
      <c r="A18" s="13">
        <f>IF(17&lt;='HELOC Calculator'!$B$16,17,"")</f>
        <v>17</v>
      </c>
      <c r="B18" s="14">
        <f t="shared" si="2"/>
        <v>46692</v>
      </c>
      <c r="C18" s="13" t="str">
        <f>IF($A18="","",IF($A18&lt;='HELOC Calculator'!$B$14,"Draw","Repayment"))</f>
        <v>Draw</v>
      </c>
      <c r="D18" s="15">
        <f t="shared" si="3"/>
        <v>45000</v>
      </c>
      <c r="E18" s="15">
        <f>IF($A18="","",IF($C18="Draw",'HELOC Calculator'!$B$7,0))</f>
        <v>0</v>
      </c>
      <c r="F18" s="15">
        <f>IF($A18="","",$D18*('HELOC Calculator'!$B$8/12))</f>
        <v>318.75</v>
      </c>
      <c r="G18" s="15">
        <f>IF($A18="","",IF($C18="Draw",$F18,'HELOC Calculator'!$B$18))</f>
        <v>318.75</v>
      </c>
      <c r="H18" s="15">
        <f t="shared" si="0"/>
        <v>0</v>
      </c>
      <c r="I18" s="15">
        <f t="shared" si="1"/>
        <v>45000</v>
      </c>
    </row>
    <row r="19" spans="1:9" ht="15" customHeight="1" x14ac:dyDescent="0.3">
      <c r="A19" s="13">
        <f>IF(18&lt;='HELOC Calculator'!$B$16,18,"")</f>
        <v>18</v>
      </c>
      <c r="B19" s="14">
        <f t="shared" si="2"/>
        <v>46722</v>
      </c>
      <c r="C19" s="13" t="str">
        <f>IF($A19="","",IF($A19&lt;='HELOC Calculator'!$B$14,"Draw","Repayment"))</f>
        <v>Draw</v>
      </c>
      <c r="D19" s="15">
        <f t="shared" si="3"/>
        <v>45000</v>
      </c>
      <c r="E19" s="15">
        <f>IF($A19="","",IF($C19="Draw",'HELOC Calculator'!$B$7,0))</f>
        <v>0</v>
      </c>
      <c r="F19" s="15">
        <f>IF($A19="","",$D19*('HELOC Calculator'!$B$8/12))</f>
        <v>318.75</v>
      </c>
      <c r="G19" s="15">
        <f>IF($A19="","",IF($C19="Draw",$F19,'HELOC Calculator'!$B$18))</f>
        <v>318.75</v>
      </c>
      <c r="H19" s="15">
        <f t="shared" si="0"/>
        <v>0</v>
      </c>
      <c r="I19" s="15">
        <f t="shared" si="1"/>
        <v>45000</v>
      </c>
    </row>
    <row r="20" spans="1:9" ht="15" customHeight="1" x14ac:dyDescent="0.3">
      <c r="A20" s="13">
        <f>IF(19&lt;='HELOC Calculator'!$B$16,19,"")</f>
        <v>19</v>
      </c>
      <c r="B20" s="14">
        <f t="shared" si="2"/>
        <v>46753</v>
      </c>
      <c r="C20" s="13" t="str">
        <f>IF($A20="","",IF($A20&lt;='HELOC Calculator'!$B$14,"Draw","Repayment"))</f>
        <v>Draw</v>
      </c>
      <c r="D20" s="15">
        <f t="shared" si="3"/>
        <v>45000</v>
      </c>
      <c r="E20" s="15">
        <f>IF($A20="","",IF($C20="Draw",'HELOC Calculator'!$B$7,0))</f>
        <v>0</v>
      </c>
      <c r="F20" s="15">
        <f>IF($A20="","",$D20*('HELOC Calculator'!$B$8/12))</f>
        <v>318.75</v>
      </c>
      <c r="G20" s="15">
        <f>IF($A20="","",IF($C20="Draw",$F20,'HELOC Calculator'!$B$18))</f>
        <v>318.75</v>
      </c>
      <c r="H20" s="15">
        <f t="shared" si="0"/>
        <v>0</v>
      </c>
      <c r="I20" s="15">
        <f t="shared" si="1"/>
        <v>45000</v>
      </c>
    </row>
    <row r="21" spans="1:9" ht="15" customHeight="1" x14ac:dyDescent="0.3">
      <c r="A21" s="13">
        <f>IF(20&lt;='HELOC Calculator'!$B$16,20,"")</f>
        <v>20</v>
      </c>
      <c r="B21" s="14">
        <f t="shared" si="2"/>
        <v>46784</v>
      </c>
      <c r="C21" s="13" t="str">
        <f>IF($A21="","",IF($A21&lt;='HELOC Calculator'!$B$14,"Draw","Repayment"))</f>
        <v>Draw</v>
      </c>
      <c r="D21" s="15">
        <f t="shared" si="3"/>
        <v>45000</v>
      </c>
      <c r="E21" s="15">
        <f>IF($A21="","",IF($C21="Draw",'HELOC Calculator'!$B$7,0))</f>
        <v>0</v>
      </c>
      <c r="F21" s="15">
        <f>IF($A21="","",$D21*('HELOC Calculator'!$B$8/12))</f>
        <v>318.75</v>
      </c>
      <c r="G21" s="15">
        <f>IF($A21="","",IF($C21="Draw",$F21,'HELOC Calculator'!$B$18))</f>
        <v>318.75</v>
      </c>
      <c r="H21" s="15">
        <f t="shared" si="0"/>
        <v>0</v>
      </c>
      <c r="I21" s="15">
        <f t="shared" si="1"/>
        <v>45000</v>
      </c>
    </row>
    <row r="22" spans="1:9" ht="15" customHeight="1" x14ac:dyDescent="0.3">
      <c r="A22" s="13">
        <f>IF(21&lt;='HELOC Calculator'!$B$16,21,"")</f>
        <v>21</v>
      </c>
      <c r="B22" s="14">
        <f t="shared" si="2"/>
        <v>46813</v>
      </c>
      <c r="C22" s="13" t="str">
        <f>IF($A22="","",IF($A22&lt;='HELOC Calculator'!$B$14,"Draw","Repayment"))</f>
        <v>Draw</v>
      </c>
      <c r="D22" s="15">
        <f t="shared" si="3"/>
        <v>45000</v>
      </c>
      <c r="E22" s="15">
        <f>IF($A22="","",IF($C22="Draw",'HELOC Calculator'!$B$7,0))</f>
        <v>0</v>
      </c>
      <c r="F22" s="15">
        <f>IF($A22="","",$D22*('HELOC Calculator'!$B$8/12))</f>
        <v>318.75</v>
      </c>
      <c r="G22" s="15">
        <f>IF($A22="","",IF($C22="Draw",$F22,'HELOC Calculator'!$B$18))</f>
        <v>318.75</v>
      </c>
      <c r="H22" s="15">
        <f t="shared" si="0"/>
        <v>0</v>
      </c>
      <c r="I22" s="15">
        <f t="shared" si="1"/>
        <v>45000</v>
      </c>
    </row>
    <row r="23" spans="1:9" ht="15" customHeight="1" x14ac:dyDescent="0.3">
      <c r="A23" s="13">
        <f>IF(22&lt;='HELOC Calculator'!$B$16,22,"")</f>
        <v>22</v>
      </c>
      <c r="B23" s="14">
        <f t="shared" si="2"/>
        <v>46844</v>
      </c>
      <c r="C23" s="13" t="str">
        <f>IF($A23="","",IF($A23&lt;='HELOC Calculator'!$B$14,"Draw","Repayment"))</f>
        <v>Draw</v>
      </c>
      <c r="D23" s="15">
        <f t="shared" si="3"/>
        <v>45000</v>
      </c>
      <c r="E23" s="15">
        <f>IF($A23="","",IF($C23="Draw",'HELOC Calculator'!$B$7,0))</f>
        <v>0</v>
      </c>
      <c r="F23" s="15">
        <f>IF($A23="","",$D23*('HELOC Calculator'!$B$8/12))</f>
        <v>318.75</v>
      </c>
      <c r="G23" s="15">
        <f>IF($A23="","",IF($C23="Draw",$F23,'HELOC Calculator'!$B$18))</f>
        <v>318.75</v>
      </c>
      <c r="H23" s="15">
        <f t="shared" si="0"/>
        <v>0</v>
      </c>
      <c r="I23" s="15">
        <f t="shared" si="1"/>
        <v>45000</v>
      </c>
    </row>
    <row r="24" spans="1:9" ht="15" customHeight="1" x14ac:dyDescent="0.3">
      <c r="A24" s="13">
        <f>IF(23&lt;='HELOC Calculator'!$B$16,23,"")</f>
        <v>23</v>
      </c>
      <c r="B24" s="14">
        <f t="shared" si="2"/>
        <v>46874</v>
      </c>
      <c r="C24" s="13" t="str">
        <f>IF($A24="","",IF($A24&lt;='HELOC Calculator'!$B$14,"Draw","Repayment"))</f>
        <v>Draw</v>
      </c>
      <c r="D24" s="15">
        <f t="shared" si="3"/>
        <v>45000</v>
      </c>
      <c r="E24" s="15">
        <f>IF($A24="","",IF($C24="Draw",'HELOC Calculator'!$B$7,0))</f>
        <v>0</v>
      </c>
      <c r="F24" s="15">
        <f>IF($A24="","",$D24*('HELOC Calculator'!$B$8/12))</f>
        <v>318.75</v>
      </c>
      <c r="G24" s="15">
        <f>IF($A24="","",IF($C24="Draw",$F24,'HELOC Calculator'!$B$18))</f>
        <v>318.75</v>
      </c>
      <c r="H24" s="15">
        <f t="shared" si="0"/>
        <v>0</v>
      </c>
      <c r="I24" s="15">
        <f t="shared" si="1"/>
        <v>45000</v>
      </c>
    </row>
    <row r="25" spans="1:9" ht="15" customHeight="1" x14ac:dyDescent="0.3">
      <c r="A25" s="13">
        <f>IF(24&lt;='HELOC Calculator'!$B$16,24,"")</f>
        <v>24</v>
      </c>
      <c r="B25" s="14">
        <f t="shared" si="2"/>
        <v>46905</v>
      </c>
      <c r="C25" s="13" t="str">
        <f>IF($A25="","",IF($A25&lt;='HELOC Calculator'!$B$14,"Draw","Repayment"))</f>
        <v>Draw</v>
      </c>
      <c r="D25" s="15">
        <f t="shared" si="3"/>
        <v>45000</v>
      </c>
      <c r="E25" s="15">
        <f>IF($A25="","",IF($C25="Draw",'HELOC Calculator'!$B$7,0))</f>
        <v>0</v>
      </c>
      <c r="F25" s="15">
        <f>IF($A25="","",$D25*('HELOC Calculator'!$B$8/12))</f>
        <v>318.75</v>
      </c>
      <c r="G25" s="15">
        <f>IF($A25="","",IF($C25="Draw",$F25,'HELOC Calculator'!$B$18))</f>
        <v>318.75</v>
      </c>
      <c r="H25" s="15">
        <f t="shared" si="0"/>
        <v>0</v>
      </c>
      <c r="I25" s="15">
        <f t="shared" si="1"/>
        <v>45000</v>
      </c>
    </row>
    <row r="26" spans="1:9" ht="15" customHeight="1" x14ac:dyDescent="0.3">
      <c r="A26" s="13">
        <f>IF(25&lt;='HELOC Calculator'!$B$16,25,"")</f>
        <v>25</v>
      </c>
      <c r="B26" s="14">
        <f t="shared" si="2"/>
        <v>46935</v>
      </c>
      <c r="C26" s="13" t="str">
        <f>IF($A26="","",IF($A26&lt;='HELOC Calculator'!$B$14,"Draw","Repayment"))</f>
        <v>Draw</v>
      </c>
      <c r="D26" s="15">
        <f t="shared" si="3"/>
        <v>45000</v>
      </c>
      <c r="E26" s="15">
        <f>IF($A26="","",IF($C26="Draw",'HELOC Calculator'!$B$7,0))</f>
        <v>0</v>
      </c>
      <c r="F26" s="15">
        <f>IF($A26="","",$D26*('HELOC Calculator'!$B$8/12))</f>
        <v>318.75</v>
      </c>
      <c r="G26" s="15">
        <f>IF($A26="","",IF($C26="Draw",$F26,'HELOC Calculator'!$B$18))</f>
        <v>318.75</v>
      </c>
      <c r="H26" s="15">
        <f t="shared" si="0"/>
        <v>0</v>
      </c>
      <c r="I26" s="15">
        <f t="shared" si="1"/>
        <v>45000</v>
      </c>
    </row>
    <row r="27" spans="1:9" ht="15" customHeight="1" x14ac:dyDescent="0.3">
      <c r="A27" s="13">
        <f>IF(26&lt;='HELOC Calculator'!$B$16,26,"")</f>
        <v>26</v>
      </c>
      <c r="B27" s="14">
        <f t="shared" si="2"/>
        <v>46966</v>
      </c>
      <c r="C27" s="13" t="str">
        <f>IF($A27="","",IF($A27&lt;='HELOC Calculator'!$B$14,"Draw","Repayment"))</f>
        <v>Draw</v>
      </c>
      <c r="D27" s="15">
        <f t="shared" si="3"/>
        <v>45000</v>
      </c>
      <c r="E27" s="15">
        <f>IF($A27="","",IF($C27="Draw",'HELOC Calculator'!$B$7,0))</f>
        <v>0</v>
      </c>
      <c r="F27" s="15">
        <f>IF($A27="","",$D27*('HELOC Calculator'!$B$8/12))</f>
        <v>318.75</v>
      </c>
      <c r="G27" s="15">
        <f>IF($A27="","",IF($C27="Draw",$F27,'HELOC Calculator'!$B$18))</f>
        <v>318.75</v>
      </c>
      <c r="H27" s="15">
        <f t="shared" si="0"/>
        <v>0</v>
      </c>
      <c r="I27" s="15">
        <f t="shared" si="1"/>
        <v>45000</v>
      </c>
    </row>
    <row r="28" spans="1:9" ht="15" customHeight="1" x14ac:dyDescent="0.3">
      <c r="A28" s="13">
        <f>IF(27&lt;='HELOC Calculator'!$B$16,27,"")</f>
        <v>27</v>
      </c>
      <c r="B28" s="14">
        <f t="shared" si="2"/>
        <v>46997</v>
      </c>
      <c r="C28" s="13" t="str">
        <f>IF($A28="","",IF($A28&lt;='HELOC Calculator'!$B$14,"Draw","Repayment"))</f>
        <v>Draw</v>
      </c>
      <c r="D28" s="15">
        <f t="shared" si="3"/>
        <v>45000</v>
      </c>
      <c r="E28" s="15">
        <f>IF($A28="","",IF($C28="Draw",'HELOC Calculator'!$B$7,0))</f>
        <v>0</v>
      </c>
      <c r="F28" s="15">
        <f>IF($A28="","",$D28*('HELOC Calculator'!$B$8/12))</f>
        <v>318.75</v>
      </c>
      <c r="G28" s="15">
        <f>IF($A28="","",IF($C28="Draw",$F28,'HELOC Calculator'!$B$18))</f>
        <v>318.75</v>
      </c>
      <c r="H28" s="15">
        <f t="shared" si="0"/>
        <v>0</v>
      </c>
      <c r="I28" s="15">
        <f t="shared" si="1"/>
        <v>45000</v>
      </c>
    </row>
    <row r="29" spans="1:9" ht="15" customHeight="1" x14ac:dyDescent="0.3">
      <c r="A29" s="13">
        <f>IF(28&lt;='HELOC Calculator'!$B$16,28,"")</f>
        <v>28</v>
      </c>
      <c r="B29" s="14">
        <f t="shared" si="2"/>
        <v>47027</v>
      </c>
      <c r="C29" s="13" t="str">
        <f>IF($A29="","",IF($A29&lt;='HELOC Calculator'!$B$14,"Draw","Repayment"))</f>
        <v>Draw</v>
      </c>
      <c r="D29" s="15">
        <f t="shared" si="3"/>
        <v>45000</v>
      </c>
      <c r="E29" s="15">
        <f>IF($A29="","",IF($C29="Draw",'HELOC Calculator'!$B$7,0))</f>
        <v>0</v>
      </c>
      <c r="F29" s="15">
        <f>IF($A29="","",$D29*('HELOC Calculator'!$B$8/12))</f>
        <v>318.75</v>
      </c>
      <c r="G29" s="15">
        <f>IF($A29="","",IF($C29="Draw",$F29,'HELOC Calculator'!$B$18))</f>
        <v>318.75</v>
      </c>
      <c r="H29" s="15">
        <f t="shared" si="0"/>
        <v>0</v>
      </c>
      <c r="I29" s="15">
        <f t="shared" si="1"/>
        <v>45000</v>
      </c>
    </row>
    <row r="30" spans="1:9" ht="15" customHeight="1" x14ac:dyDescent="0.3">
      <c r="A30" s="13">
        <f>IF(29&lt;='HELOC Calculator'!$B$16,29,"")</f>
        <v>29</v>
      </c>
      <c r="B30" s="14">
        <f t="shared" si="2"/>
        <v>47058</v>
      </c>
      <c r="C30" s="13" t="str">
        <f>IF($A30="","",IF($A30&lt;='HELOC Calculator'!$B$14,"Draw","Repayment"))</f>
        <v>Draw</v>
      </c>
      <c r="D30" s="15">
        <f t="shared" si="3"/>
        <v>45000</v>
      </c>
      <c r="E30" s="15">
        <f>IF($A30="","",IF($C30="Draw",'HELOC Calculator'!$B$7,0))</f>
        <v>0</v>
      </c>
      <c r="F30" s="15">
        <f>IF($A30="","",$D30*('HELOC Calculator'!$B$8/12))</f>
        <v>318.75</v>
      </c>
      <c r="G30" s="15">
        <f>IF($A30="","",IF($C30="Draw",$F30,'HELOC Calculator'!$B$18))</f>
        <v>318.75</v>
      </c>
      <c r="H30" s="15">
        <f t="shared" si="0"/>
        <v>0</v>
      </c>
      <c r="I30" s="15">
        <f t="shared" si="1"/>
        <v>45000</v>
      </c>
    </row>
    <row r="31" spans="1:9" ht="15" customHeight="1" x14ac:dyDescent="0.3">
      <c r="A31" s="13">
        <f>IF(30&lt;='HELOC Calculator'!$B$16,30,"")</f>
        <v>30</v>
      </c>
      <c r="B31" s="14">
        <f t="shared" si="2"/>
        <v>47088</v>
      </c>
      <c r="C31" s="13" t="str">
        <f>IF($A31="","",IF($A31&lt;='HELOC Calculator'!$B$14,"Draw","Repayment"))</f>
        <v>Draw</v>
      </c>
      <c r="D31" s="15">
        <f t="shared" si="3"/>
        <v>45000</v>
      </c>
      <c r="E31" s="15">
        <f>IF($A31="","",IF($C31="Draw",'HELOC Calculator'!$B$7,0))</f>
        <v>0</v>
      </c>
      <c r="F31" s="15">
        <f>IF($A31="","",$D31*('HELOC Calculator'!$B$8/12))</f>
        <v>318.75</v>
      </c>
      <c r="G31" s="15">
        <f>IF($A31="","",IF($C31="Draw",$F31,'HELOC Calculator'!$B$18))</f>
        <v>318.75</v>
      </c>
      <c r="H31" s="15">
        <f t="shared" si="0"/>
        <v>0</v>
      </c>
      <c r="I31" s="15">
        <f t="shared" si="1"/>
        <v>45000</v>
      </c>
    </row>
    <row r="32" spans="1:9" ht="15" customHeight="1" x14ac:dyDescent="0.3">
      <c r="A32" s="13">
        <f>IF(31&lt;='HELOC Calculator'!$B$16,31,"")</f>
        <v>31</v>
      </c>
      <c r="B32" s="14">
        <f t="shared" si="2"/>
        <v>47119</v>
      </c>
      <c r="C32" s="13" t="str">
        <f>IF($A32="","",IF($A32&lt;='HELOC Calculator'!$B$14,"Draw","Repayment"))</f>
        <v>Draw</v>
      </c>
      <c r="D32" s="15">
        <f t="shared" si="3"/>
        <v>45000</v>
      </c>
      <c r="E32" s="15">
        <f>IF($A32="","",IF($C32="Draw",'HELOC Calculator'!$B$7,0))</f>
        <v>0</v>
      </c>
      <c r="F32" s="15">
        <f>IF($A32="","",$D32*('HELOC Calculator'!$B$8/12))</f>
        <v>318.75</v>
      </c>
      <c r="G32" s="15">
        <f>IF($A32="","",IF($C32="Draw",$F32,'HELOC Calculator'!$B$18))</f>
        <v>318.75</v>
      </c>
      <c r="H32" s="15">
        <f t="shared" si="0"/>
        <v>0</v>
      </c>
      <c r="I32" s="15">
        <f t="shared" si="1"/>
        <v>45000</v>
      </c>
    </row>
    <row r="33" spans="1:9" ht="15" customHeight="1" x14ac:dyDescent="0.3">
      <c r="A33" s="13">
        <f>IF(32&lt;='HELOC Calculator'!$B$16,32,"")</f>
        <v>32</v>
      </c>
      <c r="B33" s="14">
        <f t="shared" si="2"/>
        <v>47150</v>
      </c>
      <c r="C33" s="13" t="str">
        <f>IF($A33="","",IF($A33&lt;='HELOC Calculator'!$B$14,"Draw","Repayment"))</f>
        <v>Draw</v>
      </c>
      <c r="D33" s="15">
        <f t="shared" si="3"/>
        <v>45000</v>
      </c>
      <c r="E33" s="15">
        <f>IF($A33="","",IF($C33="Draw",'HELOC Calculator'!$B$7,0))</f>
        <v>0</v>
      </c>
      <c r="F33" s="15">
        <f>IF($A33="","",$D33*('HELOC Calculator'!$B$8/12))</f>
        <v>318.75</v>
      </c>
      <c r="G33" s="15">
        <f>IF($A33="","",IF($C33="Draw",$F33,'HELOC Calculator'!$B$18))</f>
        <v>318.75</v>
      </c>
      <c r="H33" s="15">
        <f t="shared" si="0"/>
        <v>0</v>
      </c>
      <c r="I33" s="15">
        <f t="shared" si="1"/>
        <v>45000</v>
      </c>
    </row>
    <row r="34" spans="1:9" ht="15" customHeight="1" x14ac:dyDescent="0.3">
      <c r="A34" s="13">
        <f>IF(33&lt;='HELOC Calculator'!$B$16,33,"")</f>
        <v>33</v>
      </c>
      <c r="B34" s="14">
        <f t="shared" si="2"/>
        <v>47178</v>
      </c>
      <c r="C34" s="13" t="str">
        <f>IF($A34="","",IF($A34&lt;='HELOC Calculator'!$B$14,"Draw","Repayment"))</f>
        <v>Draw</v>
      </c>
      <c r="D34" s="15">
        <f t="shared" si="3"/>
        <v>45000</v>
      </c>
      <c r="E34" s="15">
        <f>IF($A34="","",IF($C34="Draw",'HELOC Calculator'!$B$7,0))</f>
        <v>0</v>
      </c>
      <c r="F34" s="15">
        <f>IF($A34="","",$D34*('HELOC Calculator'!$B$8/12))</f>
        <v>318.75</v>
      </c>
      <c r="G34" s="15">
        <f>IF($A34="","",IF($C34="Draw",$F34,'HELOC Calculator'!$B$18))</f>
        <v>318.75</v>
      </c>
      <c r="H34" s="15">
        <f t="shared" si="0"/>
        <v>0</v>
      </c>
      <c r="I34" s="15">
        <f t="shared" si="1"/>
        <v>45000</v>
      </c>
    </row>
    <row r="35" spans="1:9" ht="15" customHeight="1" x14ac:dyDescent="0.3">
      <c r="A35" s="13">
        <f>IF(34&lt;='HELOC Calculator'!$B$16,34,"")</f>
        <v>34</v>
      </c>
      <c r="B35" s="14">
        <f t="shared" si="2"/>
        <v>47209</v>
      </c>
      <c r="C35" s="13" t="str">
        <f>IF($A35="","",IF($A35&lt;='HELOC Calculator'!$B$14,"Draw","Repayment"))</f>
        <v>Draw</v>
      </c>
      <c r="D35" s="15">
        <f t="shared" si="3"/>
        <v>45000</v>
      </c>
      <c r="E35" s="15">
        <f>IF($A35="","",IF($C35="Draw",'HELOC Calculator'!$B$7,0))</f>
        <v>0</v>
      </c>
      <c r="F35" s="15">
        <f>IF($A35="","",$D35*('HELOC Calculator'!$B$8/12))</f>
        <v>318.75</v>
      </c>
      <c r="G35" s="15">
        <f>IF($A35="","",IF($C35="Draw",$F35,'HELOC Calculator'!$B$18))</f>
        <v>318.75</v>
      </c>
      <c r="H35" s="15">
        <f t="shared" si="0"/>
        <v>0</v>
      </c>
      <c r="I35" s="15">
        <f t="shared" si="1"/>
        <v>45000</v>
      </c>
    </row>
    <row r="36" spans="1:9" ht="15" customHeight="1" x14ac:dyDescent="0.3">
      <c r="A36" s="13">
        <f>IF(35&lt;='HELOC Calculator'!$B$16,35,"")</f>
        <v>35</v>
      </c>
      <c r="B36" s="14">
        <f t="shared" si="2"/>
        <v>47239</v>
      </c>
      <c r="C36" s="13" t="str">
        <f>IF($A36="","",IF($A36&lt;='HELOC Calculator'!$B$14,"Draw","Repayment"))</f>
        <v>Draw</v>
      </c>
      <c r="D36" s="15">
        <f t="shared" si="3"/>
        <v>45000</v>
      </c>
      <c r="E36" s="15">
        <f>IF($A36="","",IF($C36="Draw",'HELOC Calculator'!$B$7,0))</f>
        <v>0</v>
      </c>
      <c r="F36" s="15">
        <f>IF($A36="","",$D36*('HELOC Calculator'!$B$8/12))</f>
        <v>318.75</v>
      </c>
      <c r="G36" s="15">
        <f>IF($A36="","",IF($C36="Draw",$F36,'HELOC Calculator'!$B$18))</f>
        <v>318.75</v>
      </c>
      <c r="H36" s="15">
        <f t="shared" si="0"/>
        <v>0</v>
      </c>
      <c r="I36" s="15">
        <f t="shared" si="1"/>
        <v>45000</v>
      </c>
    </row>
    <row r="37" spans="1:9" ht="15" customHeight="1" x14ac:dyDescent="0.3">
      <c r="A37" s="13">
        <f>IF(36&lt;='HELOC Calculator'!$B$16,36,"")</f>
        <v>36</v>
      </c>
      <c r="B37" s="14">
        <f t="shared" si="2"/>
        <v>47270</v>
      </c>
      <c r="C37" s="13" t="str">
        <f>IF($A37="","",IF($A37&lt;='HELOC Calculator'!$B$14,"Draw","Repayment"))</f>
        <v>Draw</v>
      </c>
      <c r="D37" s="15">
        <f t="shared" si="3"/>
        <v>45000</v>
      </c>
      <c r="E37" s="15">
        <f>IF($A37="","",IF($C37="Draw",'HELOC Calculator'!$B$7,0))</f>
        <v>0</v>
      </c>
      <c r="F37" s="15">
        <f>IF($A37="","",$D37*('HELOC Calculator'!$B$8/12))</f>
        <v>318.75</v>
      </c>
      <c r="G37" s="15">
        <f>IF($A37="","",IF($C37="Draw",$F37,'HELOC Calculator'!$B$18))</f>
        <v>318.75</v>
      </c>
      <c r="H37" s="15">
        <f t="shared" si="0"/>
        <v>0</v>
      </c>
      <c r="I37" s="15">
        <f t="shared" si="1"/>
        <v>45000</v>
      </c>
    </row>
    <row r="38" spans="1:9" ht="15" customHeight="1" x14ac:dyDescent="0.3">
      <c r="A38" s="13">
        <f>IF(37&lt;='HELOC Calculator'!$B$16,37,"")</f>
        <v>37</v>
      </c>
      <c r="B38" s="14">
        <f t="shared" si="2"/>
        <v>47300</v>
      </c>
      <c r="C38" s="13" t="str">
        <f>IF($A38="","",IF($A38&lt;='HELOC Calculator'!$B$14,"Draw","Repayment"))</f>
        <v>Draw</v>
      </c>
      <c r="D38" s="15">
        <f t="shared" si="3"/>
        <v>45000</v>
      </c>
      <c r="E38" s="15">
        <f>IF($A38="","",IF($C38="Draw",'HELOC Calculator'!$B$7,0))</f>
        <v>0</v>
      </c>
      <c r="F38" s="15">
        <f>IF($A38="","",$D38*('HELOC Calculator'!$B$8/12))</f>
        <v>318.75</v>
      </c>
      <c r="G38" s="15">
        <f>IF($A38="","",IF($C38="Draw",$F38,'HELOC Calculator'!$B$18))</f>
        <v>318.75</v>
      </c>
      <c r="H38" s="15">
        <f t="shared" si="0"/>
        <v>0</v>
      </c>
      <c r="I38" s="15">
        <f t="shared" si="1"/>
        <v>45000</v>
      </c>
    </row>
    <row r="39" spans="1:9" ht="15" customHeight="1" x14ac:dyDescent="0.3">
      <c r="A39" s="13">
        <f>IF(38&lt;='HELOC Calculator'!$B$16,38,"")</f>
        <v>38</v>
      </c>
      <c r="B39" s="14">
        <f t="shared" si="2"/>
        <v>47331</v>
      </c>
      <c r="C39" s="13" t="str">
        <f>IF($A39="","",IF($A39&lt;='HELOC Calculator'!$B$14,"Draw","Repayment"))</f>
        <v>Draw</v>
      </c>
      <c r="D39" s="15">
        <f t="shared" si="3"/>
        <v>45000</v>
      </c>
      <c r="E39" s="15">
        <f>IF($A39="","",IF($C39="Draw",'HELOC Calculator'!$B$7,0))</f>
        <v>0</v>
      </c>
      <c r="F39" s="15">
        <f>IF($A39="","",$D39*('HELOC Calculator'!$B$8/12))</f>
        <v>318.75</v>
      </c>
      <c r="G39" s="15">
        <f>IF($A39="","",IF($C39="Draw",$F39,'HELOC Calculator'!$B$18))</f>
        <v>318.75</v>
      </c>
      <c r="H39" s="15">
        <f t="shared" si="0"/>
        <v>0</v>
      </c>
      <c r="I39" s="15">
        <f t="shared" si="1"/>
        <v>45000</v>
      </c>
    </row>
    <row r="40" spans="1:9" ht="15" customHeight="1" x14ac:dyDescent="0.3">
      <c r="A40" s="13">
        <f>IF(39&lt;='HELOC Calculator'!$B$16,39,"")</f>
        <v>39</v>
      </c>
      <c r="B40" s="14">
        <f t="shared" si="2"/>
        <v>47362</v>
      </c>
      <c r="C40" s="13" t="str">
        <f>IF($A40="","",IF($A40&lt;='HELOC Calculator'!$B$14,"Draw","Repayment"))</f>
        <v>Draw</v>
      </c>
      <c r="D40" s="15">
        <f t="shared" si="3"/>
        <v>45000</v>
      </c>
      <c r="E40" s="15">
        <f>IF($A40="","",IF($C40="Draw",'HELOC Calculator'!$B$7,0))</f>
        <v>0</v>
      </c>
      <c r="F40" s="15">
        <f>IF($A40="","",$D40*('HELOC Calculator'!$B$8/12))</f>
        <v>318.75</v>
      </c>
      <c r="G40" s="15">
        <f>IF($A40="","",IF($C40="Draw",$F40,'HELOC Calculator'!$B$18))</f>
        <v>318.75</v>
      </c>
      <c r="H40" s="15">
        <f t="shared" si="0"/>
        <v>0</v>
      </c>
      <c r="I40" s="15">
        <f t="shared" si="1"/>
        <v>45000</v>
      </c>
    </row>
    <row r="41" spans="1:9" ht="15" customHeight="1" x14ac:dyDescent="0.3">
      <c r="A41" s="13">
        <f>IF(40&lt;='HELOC Calculator'!$B$16,40,"")</f>
        <v>40</v>
      </c>
      <c r="B41" s="14">
        <f t="shared" si="2"/>
        <v>47392</v>
      </c>
      <c r="C41" s="13" t="str">
        <f>IF($A41="","",IF($A41&lt;='HELOC Calculator'!$B$14,"Draw","Repayment"))</f>
        <v>Draw</v>
      </c>
      <c r="D41" s="15">
        <f t="shared" si="3"/>
        <v>45000</v>
      </c>
      <c r="E41" s="15">
        <f>IF($A41="","",IF($C41="Draw",'HELOC Calculator'!$B$7,0))</f>
        <v>0</v>
      </c>
      <c r="F41" s="15">
        <f>IF($A41="","",$D41*('HELOC Calculator'!$B$8/12))</f>
        <v>318.75</v>
      </c>
      <c r="G41" s="15">
        <f>IF($A41="","",IF($C41="Draw",$F41,'HELOC Calculator'!$B$18))</f>
        <v>318.75</v>
      </c>
      <c r="H41" s="15">
        <f t="shared" si="0"/>
        <v>0</v>
      </c>
      <c r="I41" s="15">
        <f t="shared" si="1"/>
        <v>45000</v>
      </c>
    </row>
    <row r="42" spans="1:9" ht="15" customHeight="1" x14ac:dyDescent="0.3">
      <c r="A42" s="13">
        <f>IF(41&lt;='HELOC Calculator'!$B$16,41,"")</f>
        <v>41</v>
      </c>
      <c r="B42" s="14">
        <f t="shared" si="2"/>
        <v>47423</v>
      </c>
      <c r="C42" s="13" t="str">
        <f>IF($A42="","",IF($A42&lt;='HELOC Calculator'!$B$14,"Draw","Repayment"))</f>
        <v>Draw</v>
      </c>
      <c r="D42" s="15">
        <f t="shared" si="3"/>
        <v>45000</v>
      </c>
      <c r="E42" s="15">
        <f>IF($A42="","",IF($C42="Draw",'HELOC Calculator'!$B$7,0))</f>
        <v>0</v>
      </c>
      <c r="F42" s="15">
        <f>IF($A42="","",$D42*('HELOC Calculator'!$B$8/12))</f>
        <v>318.75</v>
      </c>
      <c r="G42" s="15">
        <f>IF($A42="","",IF($C42="Draw",$F42,'HELOC Calculator'!$B$18))</f>
        <v>318.75</v>
      </c>
      <c r="H42" s="15">
        <f t="shared" si="0"/>
        <v>0</v>
      </c>
      <c r="I42" s="15">
        <f t="shared" si="1"/>
        <v>45000</v>
      </c>
    </row>
    <row r="43" spans="1:9" ht="15" customHeight="1" x14ac:dyDescent="0.3">
      <c r="A43" s="13">
        <f>IF(42&lt;='HELOC Calculator'!$B$16,42,"")</f>
        <v>42</v>
      </c>
      <c r="B43" s="14">
        <f t="shared" si="2"/>
        <v>47453</v>
      </c>
      <c r="C43" s="13" t="str">
        <f>IF($A43="","",IF($A43&lt;='HELOC Calculator'!$B$14,"Draw","Repayment"))</f>
        <v>Draw</v>
      </c>
      <c r="D43" s="15">
        <f t="shared" si="3"/>
        <v>45000</v>
      </c>
      <c r="E43" s="15">
        <f>IF($A43="","",IF($C43="Draw",'HELOC Calculator'!$B$7,0))</f>
        <v>0</v>
      </c>
      <c r="F43" s="15">
        <f>IF($A43="","",$D43*('HELOC Calculator'!$B$8/12))</f>
        <v>318.75</v>
      </c>
      <c r="G43" s="15">
        <f>IF($A43="","",IF($C43="Draw",$F43,'HELOC Calculator'!$B$18))</f>
        <v>318.75</v>
      </c>
      <c r="H43" s="15">
        <f t="shared" si="0"/>
        <v>0</v>
      </c>
      <c r="I43" s="15">
        <f t="shared" si="1"/>
        <v>45000</v>
      </c>
    </row>
    <row r="44" spans="1:9" ht="15" customHeight="1" x14ac:dyDescent="0.3">
      <c r="A44" s="13">
        <f>IF(43&lt;='HELOC Calculator'!$B$16,43,"")</f>
        <v>43</v>
      </c>
      <c r="B44" s="14">
        <f t="shared" si="2"/>
        <v>47484</v>
      </c>
      <c r="C44" s="13" t="str">
        <f>IF($A44="","",IF($A44&lt;='HELOC Calculator'!$B$14,"Draw","Repayment"))</f>
        <v>Draw</v>
      </c>
      <c r="D44" s="15">
        <f t="shared" si="3"/>
        <v>45000</v>
      </c>
      <c r="E44" s="15">
        <f>IF($A44="","",IF($C44="Draw",'HELOC Calculator'!$B$7,0))</f>
        <v>0</v>
      </c>
      <c r="F44" s="15">
        <f>IF($A44="","",$D44*('HELOC Calculator'!$B$8/12))</f>
        <v>318.75</v>
      </c>
      <c r="G44" s="15">
        <f>IF($A44="","",IF($C44="Draw",$F44,'HELOC Calculator'!$B$18))</f>
        <v>318.75</v>
      </c>
      <c r="H44" s="15">
        <f t="shared" si="0"/>
        <v>0</v>
      </c>
      <c r="I44" s="15">
        <f t="shared" si="1"/>
        <v>45000</v>
      </c>
    </row>
    <row r="45" spans="1:9" ht="15" customHeight="1" x14ac:dyDescent="0.3">
      <c r="A45" s="13">
        <f>IF(44&lt;='HELOC Calculator'!$B$16,44,"")</f>
        <v>44</v>
      </c>
      <c r="B45" s="14">
        <f t="shared" si="2"/>
        <v>47515</v>
      </c>
      <c r="C45" s="13" t="str">
        <f>IF($A45="","",IF($A45&lt;='HELOC Calculator'!$B$14,"Draw","Repayment"))</f>
        <v>Draw</v>
      </c>
      <c r="D45" s="15">
        <f t="shared" si="3"/>
        <v>45000</v>
      </c>
      <c r="E45" s="15">
        <f>IF($A45="","",IF($C45="Draw",'HELOC Calculator'!$B$7,0))</f>
        <v>0</v>
      </c>
      <c r="F45" s="15">
        <f>IF($A45="","",$D45*('HELOC Calculator'!$B$8/12))</f>
        <v>318.75</v>
      </c>
      <c r="G45" s="15">
        <f>IF($A45="","",IF($C45="Draw",$F45,'HELOC Calculator'!$B$18))</f>
        <v>318.75</v>
      </c>
      <c r="H45" s="15">
        <f t="shared" si="0"/>
        <v>0</v>
      </c>
      <c r="I45" s="15">
        <f t="shared" si="1"/>
        <v>45000</v>
      </c>
    </row>
    <row r="46" spans="1:9" ht="15" customHeight="1" x14ac:dyDescent="0.3">
      <c r="A46" s="13">
        <f>IF(45&lt;='HELOC Calculator'!$B$16,45,"")</f>
        <v>45</v>
      </c>
      <c r="B46" s="14">
        <f t="shared" si="2"/>
        <v>47543</v>
      </c>
      <c r="C46" s="13" t="str">
        <f>IF($A46="","",IF($A46&lt;='HELOC Calculator'!$B$14,"Draw","Repayment"))</f>
        <v>Draw</v>
      </c>
      <c r="D46" s="15">
        <f t="shared" si="3"/>
        <v>45000</v>
      </c>
      <c r="E46" s="15">
        <f>IF($A46="","",IF($C46="Draw",'HELOC Calculator'!$B$7,0))</f>
        <v>0</v>
      </c>
      <c r="F46" s="15">
        <f>IF($A46="","",$D46*('HELOC Calculator'!$B$8/12))</f>
        <v>318.75</v>
      </c>
      <c r="G46" s="15">
        <f>IF($A46="","",IF($C46="Draw",$F46,'HELOC Calculator'!$B$18))</f>
        <v>318.75</v>
      </c>
      <c r="H46" s="15">
        <f t="shared" si="0"/>
        <v>0</v>
      </c>
      <c r="I46" s="15">
        <f t="shared" si="1"/>
        <v>45000</v>
      </c>
    </row>
    <row r="47" spans="1:9" ht="15" customHeight="1" x14ac:dyDescent="0.3">
      <c r="A47" s="13">
        <f>IF(46&lt;='HELOC Calculator'!$B$16,46,"")</f>
        <v>46</v>
      </c>
      <c r="B47" s="14">
        <f t="shared" si="2"/>
        <v>47574</v>
      </c>
      <c r="C47" s="13" t="str">
        <f>IF($A47="","",IF($A47&lt;='HELOC Calculator'!$B$14,"Draw","Repayment"))</f>
        <v>Draw</v>
      </c>
      <c r="D47" s="15">
        <f t="shared" si="3"/>
        <v>45000</v>
      </c>
      <c r="E47" s="15">
        <f>IF($A47="","",IF($C47="Draw",'HELOC Calculator'!$B$7,0))</f>
        <v>0</v>
      </c>
      <c r="F47" s="15">
        <f>IF($A47="","",$D47*('HELOC Calculator'!$B$8/12))</f>
        <v>318.75</v>
      </c>
      <c r="G47" s="15">
        <f>IF($A47="","",IF($C47="Draw",$F47,'HELOC Calculator'!$B$18))</f>
        <v>318.75</v>
      </c>
      <c r="H47" s="15">
        <f t="shared" si="0"/>
        <v>0</v>
      </c>
      <c r="I47" s="15">
        <f t="shared" si="1"/>
        <v>45000</v>
      </c>
    </row>
    <row r="48" spans="1:9" ht="15" customHeight="1" x14ac:dyDescent="0.3">
      <c r="A48" s="13">
        <f>IF(47&lt;='HELOC Calculator'!$B$16,47,"")</f>
        <v>47</v>
      </c>
      <c r="B48" s="14">
        <f t="shared" si="2"/>
        <v>47604</v>
      </c>
      <c r="C48" s="13" t="str">
        <f>IF($A48="","",IF($A48&lt;='HELOC Calculator'!$B$14,"Draw","Repayment"))</f>
        <v>Draw</v>
      </c>
      <c r="D48" s="15">
        <f t="shared" si="3"/>
        <v>45000</v>
      </c>
      <c r="E48" s="15">
        <f>IF($A48="","",IF($C48="Draw",'HELOC Calculator'!$B$7,0))</f>
        <v>0</v>
      </c>
      <c r="F48" s="15">
        <f>IF($A48="","",$D48*('HELOC Calculator'!$B$8/12))</f>
        <v>318.75</v>
      </c>
      <c r="G48" s="15">
        <f>IF($A48="","",IF($C48="Draw",$F48,'HELOC Calculator'!$B$18))</f>
        <v>318.75</v>
      </c>
      <c r="H48" s="15">
        <f t="shared" si="0"/>
        <v>0</v>
      </c>
      <c r="I48" s="15">
        <f t="shared" si="1"/>
        <v>45000</v>
      </c>
    </row>
    <row r="49" spans="1:9" ht="15" customHeight="1" x14ac:dyDescent="0.3">
      <c r="A49" s="13">
        <f>IF(48&lt;='HELOC Calculator'!$B$16,48,"")</f>
        <v>48</v>
      </c>
      <c r="B49" s="14">
        <f t="shared" si="2"/>
        <v>47635</v>
      </c>
      <c r="C49" s="13" t="str">
        <f>IF($A49="","",IF($A49&lt;='HELOC Calculator'!$B$14,"Draw","Repayment"))</f>
        <v>Draw</v>
      </c>
      <c r="D49" s="15">
        <f t="shared" si="3"/>
        <v>45000</v>
      </c>
      <c r="E49" s="15">
        <f>IF($A49="","",IF($C49="Draw",'HELOC Calculator'!$B$7,0))</f>
        <v>0</v>
      </c>
      <c r="F49" s="15">
        <f>IF($A49="","",$D49*('HELOC Calculator'!$B$8/12))</f>
        <v>318.75</v>
      </c>
      <c r="G49" s="15">
        <f>IF($A49="","",IF($C49="Draw",$F49,'HELOC Calculator'!$B$18))</f>
        <v>318.75</v>
      </c>
      <c r="H49" s="15">
        <f t="shared" si="0"/>
        <v>0</v>
      </c>
      <c r="I49" s="15">
        <f t="shared" si="1"/>
        <v>45000</v>
      </c>
    </row>
    <row r="50" spans="1:9" ht="15" customHeight="1" x14ac:dyDescent="0.3">
      <c r="A50" s="13">
        <f>IF(49&lt;='HELOC Calculator'!$B$16,49,"")</f>
        <v>49</v>
      </c>
      <c r="B50" s="14">
        <f t="shared" si="2"/>
        <v>47665</v>
      </c>
      <c r="C50" s="13" t="str">
        <f>IF($A50="","",IF($A50&lt;='HELOC Calculator'!$B$14,"Draw","Repayment"))</f>
        <v>Draw</v>
      </c>
      <c r="D50" s="15">
        <f t="shared" si="3"/>
        <v>45000</v>
      </c>
      <c r="E50" s="15">
        <f>IF($A50="","",IF($C50="Draw",'HELOC Calculator'!$B$7,0))</f>
        <v>0</v>
      </c>
      <c r="F50" s="15">
        <f>IF($A50="","",$D50*('HELOC Calculator'!$B$8/12))</f>
        <v>318.75</v>
      </c>
      <c r="G50" s="15">
        <f>IF($A50="","",IF($C50="Draw",$F50,'HELOC Calculator'!$B$18))</f>
        <v>318.75</v>
      </c>
      <c r="H50" s="15">
        <f t="shared" si="0"/>
        <v>0</v>
      </c>
      <c r="I50" s="15">
        <f t="shared" si="1"/>
        <v>45000</v>
      </c>
    </row>
    <row r="51" spans="1:9" ht="15" customHeight="1" x14ac:dyDescent="0.3">
      <c r="A51" s="13">
        <f>IF(50&lt;='HELOC Calculator'!$B$16,50,"")</f>
        <v>50</v>
      </c>
      <c r="B51" s="14">
        <f t="shared" si="2"/>
        <v>47696</v>
      </c>
      <c r="C51" s="13" t="str">
        <f>IF($A51="","",IF($A51&lt;='HELOC Calculator'!$B$14,"Draw","Repayment"))</f>
        <v>Draw</v>
      </c>
      <c r="D51" s="15">
        <f t="shared" si="3"/>
        <v>45000</v>
      </c>
      <c r="E51" s="15">
        <f>IF($A51="","",IF($C51="Draw",'HELOC Calculator'!$B$7,0))</f>
        <v>0</v>
      </c>
      <c r="F51" s="15">
        <f>IF($A51="","",$D51*('HELOC Calculator'!$B$8/12))</f>
        <v>318.75</v>
      </c>
      <c r="G51" s="15">
        <f>IF($A51="","",IF($C51="Draw",$F51,'HELOC Calculator'!$B$18))</f>
        <v>318.75</v>
      </c>
      <c r="H51" s="15">
        <f t="shared" si="0"/>
        <v>0</v>
      </c>
      <c r="I51" s="15">
        <f t="shared" si="1"/>
        <v>45000</v>
      </c>
    </row>
    <row r="52" spans="1:9" ht="15" customHeight="1" x14ac:dyDescent="0.3">
      <c r="A52" s="13">
        <f>IF(51&lt;='HELOC Calculator'!$B$16,51,"")</f>
        <v>51</v>
      </c>
      <c r="B52" s="14">
        <f t="shared" si="2"/>
        <v>47727</v>
      </c>
      <c r="C52" s="13" t="str">
        <f>IF($A52="","",IF($A52&lt;='HELOC Calculator'!$B$14,"Draw","Repayment"))</f>
        <v>Draw</v>
      </c>
      <c r="D52" s="15">
        <f t="shared" si="3"/>
        <v>45000</v>
      </c>
      <c r="E52" s="15">
        <f>IF($A52="","",IF($C52="Draw",'HELOC Calculator'!$B$7,0))</f>
        <v>0</v>
      </c>
      <c r="F52" s="15">
        <f>IF($A52="","",$D52*('HELOC Calculator'!$B$8/12))</f>
        <v>318.75</v>
      </c>
      <c r="G52" s="15">
        <f>IF($A52="","",IF($C52="Draw",$F52,'HELOC Calculator'!$B$18))</f>
        <v>318.75</v>
      </c>
      <c r="H52" s="15">
        <f t="shared" si="0"/>
        <v>0</v>
      </c>
      <c r="I52" s="15">
        <f t="shared" si="1"/>
        <v>45000</v>
      </c>
    </row>
    <row r="53" spans="1:9" ht="15" customHeight="1" x14ac:dyDescent="0.3">
      <c r="A53" s="13">
        <f>IF(52&lt;='HELOC Calculator'!$B$16,52,"")</f>
        <v>52</v>
      </c>
      <c r="B53" s="14">
        <f t="shared" si="2"/>
        <v>47757</v>
      </c>
      <c r="C53" s="13" t="str">
        <f>IF($A53="","",IF($A53&lt;='HELOC Calculator'!$B$14,"Draw","Repayment"))</f>
        <v>Draw</v>
      </c>
      <c r="D53" s="15">
        <f t="shared" si="3"/>
        <v>45000</v>
      </c>
      <c r="E53" s="15">
        <f>IF($A53="","",IF($C53="Draw",'HELOC Calculator'!$B$7,0))</f>
        <v>0</v>
      </c>
      <c r="F53" s="15">
        <f>IF($A53="","",$D53*('HELOC Calculator'!$B$8/12))</f>
        <v>318.75</v>
      </c>
      <c r="G53" s="15">
        <f>IF($A53="","",IF($C53="Draw",$F53,'HELOC Calculator'!$B$18))</f>
        <v>318.75</v>
      </c>
      <c r="H53" s="15">
        <f t="shared" si="0"/>
        <v>0</v>
      </c>
      <c r="I53" s="15">
        <f t="shared" si="1"/>
        <v>45000</v>
      </c>
    </row>
    <row r="54" spans="1:9" ht="15" customHeight="1" x14ac:dyDescent="0.3">
      <c r="A54" s="13">
        <f>IF(53&lt;='HELOC Calculator'!$B$16,53,"")</f>
        <v>53</v>
      </c>
      <c r="B54" s="14">
        <f t="shared" si="2"/>
        <v>47788</v>
      </c>
      <c r="C54" s="13" t="str">
        <f>IF($A54="","",IF($A54&lt;='HELOC Calculator'!$B$14,"Draw","Repayment"))</f>
        <v>Draw</v>
      </c>
      <c r="D54" s="15">
        <f t="shared" si="3"/>
        <v>45000</v>
      </c>
      <c r="E54" s="15">
        <f>IF($A54="","",IF($C54="Draw",'HELOC Calculator'!$B$7,0))</f>
        <v>0</v>
      </c>
      <c r="F54" s="15">
        <f>IF($A54="","",$D54*('HELOC Calculator'!$B$8/12))</f>
        <v>318.75</v>
      </c>
      <c r="G54" s="15">
        <f>IF($A54="","",IF($C54="Draw",$F54,'HELOC Calculator'!$B$18))</f>
        <v>318.75</v>
      </c>
      <c r="H54" s="15">
        <f t="shared" si="0"/>
        <v>0</v>
      </c>
      <c r="I54" s="15">
        <f t="shared" si="1"/>
        <v>45000</v>
      </c>
    </row>
    <row r="55" spans="1:9" ht="15" customHeight="1" x14ac:dyDescent="0.3">
      <c r="A55" s="13">
        <f>IF(54&lt;='HELOC Calculator'!$B$16,54,"")</f>
        <v>54</v>
      </c>
      <c r="B55" s="14">
        <f t="shared" si="2"/>
        <v>47818</v>
      </c>
      <c r="C55" s="13" t="str">
        <f>IF($A55="","",IF($A55&lt;='HELOC Calculator'!$B$14,"Draw","Repayment"))</f>
        <v>Draw</v>
      </c>
      <c r="D55" s="15">
        <f t="shared" si="3"/>
        <v>45000</v>
      </c>
      <c r="E55" s="15">
        <f>IF($A55="","",IF($C55="Draw",'HELOC Calculator'!$B$7,0))</f>
        <v>0</v>
      </c>
      <c r="F55" s="15">
        <f>IF($A55="","",$D55*('HELOC Calculator'!$B$8/12))</f>
        <v>318.75</v>
      </c>
      <c r="G55" s="15">
        <f>IF($A55="","",IF($C55="Draw",$F55,'HELOC Calculator'!$B$18))</f>
        <v>318.75</v>
      </c>
      <c r="H55" s="15">
        <f t="shared" si="0"/>
        <v>0</v>
      </c>
      <c r="I55" s="15">
        <f t="shared" si="1"/>
        <v>45000</v>
      </c>
    </row>
    <row r="56" spans="1:9" ht="15" customHeight="1" x14ac:dyDescent="0.3">
      <c r="A56" s="13">
        <f>IF(55&lt;='HELOC Calculator'!$B$16,55,"")</f>
        <v>55</v>
      </c>
      <c r="B56" s="14">
        <f t="shared" si="2"/>
        <v>47849</v>
      </c>
      <c r="C56" s="13" t="str">
        <f>IF($A56="","",IF($A56&lt;='HELOC Calculator'!$B$14,"Draw","Repayment"))</f>
        <v>Draw</v>
      </c>
      <c r="D56" s="15">
        <f t="shared" si="3"/>
        <v>45000</v>
      </c>
      <c r="E56" s="15">
        <f>IF($A56="","",IF($C56="Draw",'HELOC Calculator'!$B$7,0))</f>
        <v>0</v>
      </c>
      <c r="F56" s="15">
        <f>IF($A56="","",$D56*('HELOC Calculator'!$B$8/12))</f>
        <v>318.75</v>
      </c>
      <c r="G56" s="15">
        <f>IF($A56="","",IF($C56="Draw",$F56,'HELOC Calculator'!$B$18))</f>
        <v>318.75</v>
      </c>
      <c r="H56" s="15">
        <f t="shared" si="0"/>
        <v>0</v>
      </c>
      <c r="I56" s="15">
        <f t="shared" si="1"/>
        <v>45000</v>
      </c>
    </row>
    <row r="57" spans="1:9" ht="15" customHeight="1" x14ac:dyDescent="0.3">
      <c r="A57" s="13">
        <f>IF(56&lt;='HELOC Calculator'!$B$16,56,"")</f>
        <v>56</v>
      </c>
      <c r="B57" s="14">
        <f t="shared" si="2"/>
        <v>47880</v>
      </c>
      <c r="C57" s="13" t="str">
        <f>IF($A57="","",IF($A57&lt;='HELOC Calculator'!$B$14,"Draw","Repayment"))</f>
        <v>Draw</v>
      </c>
      <c r="D57" s="15">
        <f t="shared" si="3"/>
        <v>45000</v>
      </c>
      <c r="E57" s="15">
        <f>IF($A57="","",IF($C57="Draw",'HELOC Calculator'!$B$7,0))</f>
        <v>0</v>
      </c>
      <c r="F57" s="15">
        <f>IF($A57="","",$D57*('HELOC Calculator'!$B$8/12))</f>
        <v>318.75</v>
      </c>
      <c r="G57" s="15">
        <f>IF($A57="","",IF($C57="Draw",$F57,'HELOC Calculator'!$B$18))</f>
        <v>318.75</v>
      </c>
      <c r="H57" s="15">
        <f t="shared" si="0"/>
        <v>0</v>
      </c>
      <c r="I57" s="15">
        <f t="shared" si="1"/>
        <v>45000</v>
      </c>
    </row>
    <row r="58" spans="1:9" ht="15" customHeight="1" x14ac:dyDescent="0.3">
      <c r="A58" s="13">
        <f>IF(57&lt;='HELOC Calculator'!$B$16,57,"")</f>
        <v>57</v>
      </c>
      <c r="B58" s="14">
        <f t="shared" si="2"/>
        <v>47908</v>
      </c>
      <c r="C58" s="13" t="str">
        <f>IF($A58="","",IF($A58&lt;='HELOC Calculator'!$B$14,"Draw","Repayment"))</f>
        <v>Draw</v>
      </c>
      <c r="D58" s="15">
        <f t="shared" si="3"/>
        <v>45000</v>
      </c>
      <c r="E58" s="15">
        <f>IF($A58="","",IF($C58="Draw",'HELOC Calculator'!$B$7,0))</f>
        <v>0</v>
      </c>
      <c r="F58" s="15">
        <f>IF($A58="","",$D58*('HELOC Calculator'!$B$8/12))</f>
        <v>318.75</v>
      </c>
      <c r="G58" s="15">
        <f>IF($A58="","",IF($C58="Draw",$F58,'HELOC Calculator'!$B$18))</f>
        <v>318.75</v>
      </c>
      <c r="H58" s="15">
        <f t="shared" si="0"/>
        <v>0</v>
      </c>
      <c r="I58" s="15">
        <f t="shared" si="1"/>
        <v>45000</v>
      </c>
    </row>
    <row r="59" spans="1:9" ht="15" customHeight="1" x14ac:dyDescent="0.3">
      <c r="A59" s="13">
        <f>IF(58&lt;='HELOC Calculator'!$B$16,58,"")</f>
        <v>58</v>
      </c>
      <c r="B59" s="14">
        <f t="shared" si="2"/>
        <v>47939</v>
      </c>
      <c r="C59" s="13" t="str">
        <f>IF($A59="","",IF($A59&lt;='HELOC Calculator'!$B$14,"Draw","Repayment"))</f>
        <v>Draw</v>
      </c>
      <c r="D59" s="15">
        <f t="shared" si="3"/>
        <v>45000</v>
      </c>
      <c r="E59" s="15">
        <f>IF($A59="","",IF($C59="Draw",'HELOC Calculator'!$B$7,0))</f>
        <v>0</v>
      </c>
      <c r="F59" s="15">
        <f>IF($A59="","",$D59*('HELOC Calculator'!$B$8/12))</f>
        <v>318.75</v>
      </c>
      <c r="G59" s="15">
        <f>IF($A59="","",IF($C59="Draw",$F59,'HELOC Calculator'!$B$18))</f>
        <v>318.75</v>
      </c>
      <c r="H59" s="15">
        <f t="shared" si="0"/>
        <v>0</v>
      </c>
      <c r="I59" s="15">
        <f t="shared" si="1"/>
        <v>45000</v>
      </c>
    </row>
    <row r="60" spans="1:9" ht="15" customHeight="1" x14ac:dyDescent="0.3">
      <c r="A60" s="13">
        <f>IF(59&lt;='HELOC Calculator'!$B$16,59,"")</f>
        <v>59</v>
      </c>
      <c r="B60" s="14">
        <f t="shared" si="2"/>
        <v>47969</v>
      </c>
      <c r="C60" s="13" t="str">
        <f>IF($A60="","",IF($A60&lt;='HELOC Calculator'!$B$14,"Draw","Repayment"))</f>
        <v>Draw</v>
      </c>
      <c r="D60" s="15">
        <f t="shared" si="3"/>
        <v>45000</v>
      </c>
      <c r="E60" s="15">
        <f>IF($A60="","",IF($C60="Draw",'HELOC Calculator'!$B$7,0))</f>
        <v>0</v>
      </c>
      <c r="F60" s="15">
        <f>IF($A60="","",$D60*('HELOC Calculator'!$B$8/12))</f>
        <v>318.75</v>
      </c>
      <c r="G60" s="15">
        <f>IF($A60="","",IF($C60="Draw",$F60,'HELOC Calculator'!$B$18))</f>
        <v>318.75</v>
      </c>
      <c r="H60" s="15">
        <f t="shared" si="0"/>
        <v>0</v>
      </c>
      <c r="I60" s="15">
        <f t="shared" si="1"/>
        <v>45000</v>
      </c>
    </row>
    <row r="61" spans="1:9" ht="15" customHeight="1" x14ac:dyDescent="0.3">
      <c r="A61" s="13">
        <f>IF(60&lt;='HELOC Calculator'!$B$16,60,"")</f>
        <v>60</v>
      </c>
      <c r="B61" s="14">
        <f t="shared" si="2"/>
        <v>48000</v>
      </c>
      <c r="C61" s="13" t="str">
        <f>IF($A61="","",IF($A61&lt;='HELOC Calculator'!$B$14,"Draw","Repayment"))</f>
        <v>Draw</v>
      </c>
      <c r="D61" s="15">
        <f t="shared" si="3"/>
        <v>45000</v>
      </c>
      <c r="E61" s="15">
        <f>IF($A61="","",IF($C61="Draw",'HELOC Calculator'!$B$7,0))</f>
        <v>0</v>
      </c>
      <c r="F61" s="15">
        <f>IF($A61="","",$D61*('HELOC Calculator'!$B$8/12))</f>
        <v>318.75</v>
      </c>
      <c r="G61" s="15">
        <f>IF($A61="","",IF($C61="Draw",$F61,'HELOC Calculator'!$B$18))</f>
        <v>318.75</v>
      </c>
      <c r="H61" s="15">
        <f t="shared" si="0"/>
        <v>0</v>
      </c>
      <c r="I61" s="15">
        <f t="shared" si="1"/>
        <v>45000</v>
      </c>
    </row>
    <row r="62" spans="1:9" ht="15" customHeight="1" x14ac:dyDescent="0.3">
      <c r="A62" s="13">
        <f>IF(61&lt;='HELOC Calculator'!$B$16,61,"")</f>
        <v>61</v>
      </c>
      <c r="B62" s="14">
        <f t="shared" si="2"/>
        <v>48030</v>
      </c>
      <c r="C62" s="13" t="str">
        <f>IF($A62="","",IF($A62&lt;='HELOC Calculator'!$B$14,"Draw","Repayment"))</f>
        <v>Draw</v>
      </c>
      <c r="D62" s="15">
        <f t="shared" si="3"/>
        <v>45000</v>
      </c>
      <c r="E62" s="15">
        <f>IF($A62="","",IF($C62="Draw",'HELOC Calculator'!$B$7,0))</f>
        <v>0</v>
      </c>
      <c r="F62" s="15">
        <f>IF($A62="","",$D62*('HELOC Calculator'!$B$8/12))</f>
        <v>318.75</v>
      </c>
      <c r="G62" s="15">
        <f>IF($A62="","",IF($C62="Draw",$F62,'HELOC Calculator'!$B$18))</f>
        <v>318.75</v>
      </c>
      <c r="H62" s="15">
        <f t="shared" si="0"/>
        <v>0</v>
      </c>
      <c r="I62" s="15">
        <f t="shared" si="1"/>
        <v>45000</v>
      </c>
    </row>
    <row r="63" spans="1:9" ht="15" customHeight="1" x14ac:dyDescent="0.3">
      <c r="A63" s="13">
        <f>IF(62&lt;='HELOC Calculator'!$B$16,62,"")</f>
        <v>62</v>
      </c>
      <c r="B63" s="14">
        <f t="shared" si="2"/>
        <v>48061</v>
      </c>
      <c r="C63" s="13" t="str">
        <f>IF($A63="","",IF($A63&lt;='HELOC Calculator'!$B$14,"Draw","Repayment"))</f>
        <v>Draw</v>
      </c>
      <c r="D63" s="15">
        <f t="shared" si="3"/>
        <v>45000</v>
      </c>
      <c r="E63" s="15">
        <f>IF($A63="","",IF($C63="Draw",'HELOC Calculator'!$B$7,0))</f>
        <v>0</v>
      </c>
      <c r="F63" s="15">
        <f>IF($A63="","",$D63*('HELOC Calculator'!$B$8/12))</f>
        <v>318.75</v>
      </c>
      <c r="G63" s="15">
        <f>IF($A63="","",IF($C63="Draw",$F63,'HELOC Calculator'!$B$18))</f>
        <v>318.75</v>
      </c>
      <c r="H63" s="15">
        <f t="shared" si="0"/>
        <v>0</v>
      </c>
      <c r="I63" s="15">
        <f t="shared" si="1"/>
        <v>45000</v>
      </c>
    </row>
    <row r="64" spans="1:9" ht="15" customHeight="1" x14ac:dyDescent="0.3">
      <c r="A64" s="13">
        <f>IF(63&lt;='HELOC Calculator'!$B$16,63,"")</f>
        <v>63</v>
      </c>
      <c r="B64" s="14">
        <f t="shared" si="2"/>
        <v>48092</v>
      </c>
      <c r="C64" s="13" t="str">
        <f>IF($A64="","",IF($A64&lt;='HELOC Calculator'!$B$14,"Draw","Repayment"))</f>
        <v>Draw</v>
      </c>
      <c r="D64" s="15">
        <f t="shared" si="3"/>
        <v>45000</v>
      </c>
      <c r="E64" s="15">
        <f>IF($A64="","",IF($C64="Draw",'HELOC Calculator'!$B$7,0))</f>
        <v>0</v>
      </c>
      <c r="F64" s="15">
        <f>IF($A64="","",$D64*('HELOC Calculator'!$B$8/12))</f>
        <v>318.75</v>
      </c>
      <c r="G64" s="15">
        <f>IF($A64="","",IF($C64="Draw",$F64,'HELOC Calculator'!$B$18))</f>
        <v>318.75</v>
      </c>
      <c r="H64" s="15">
        <f t="shared" si="0"/>
        <v>0</v>
      </c>
      <c r="I64" s="15">
        <f t="shared" si="1"/>
        <v>45000</v>
      </c>
    </row>
    <row r="65" spans="1:9" ht="15" customHeight="1" x14ac:dyDescent="0.3">
      <c r="A65" s="13">
        <f>IF(64&lt;='HELOC Calculator'!$B$16,64,"")</f>
        <v>64</v>
      </c>
      <c r="B65" s="14">
        <f t="shared" si="2"/>
        <v>48122</v>
      </c>
      <c r="C65" s="13" t="str">
        <f>IF($A65="","",IF($A65&lt;='HELOC Calculator'!$B$14,"Draw","Repayment"))</f>
        <v>Draw</v>
      </c>
      <c r="D65" s="15">
        <f t="shared" si="3"/>
        <v>45000</v>
      </c>
      <c r="E65" s="15">
        <f>IF($A65="","",IF($C65="Draw",'HELOC Calculator'!$B$7,0))</f>
        <v>0</v>
      </c>
      <c r="F65" s="15">
        <f>IF($A65="","",$D65*('HELOC Calculator'!$B$8/12))</f>
        <v>318.75</v>
      </c>
      <c r="G65" s="15">
        <f>IF($A65="","",IF($C65="Draw",$F65,'HELOC Calculator'!$B$18))</f>
        <v>318.75</v>
      </c>
      <c r="H65" s="15">
        <f t="shared" si="0"/>
        <v>0</v>
      </c>
      <c r="I65" s="15">
        <f t="shared" si="1"/>
        <v>45000</v>
      </c>
    </row>
    <row r="66" spans="1:9" ht="15" customHeight="1" x14ac:dyDescent="0.3">
      <c r="A66" s="13">
        <f>IF(65&lt;='HELOC Calculator'!$B$16,65,"")</f>
        <v>65</v>
      </c>
      <c r="B66" s="14">
        <f t="shared" si="2"/>
        <v>48153</v>
      </c>
      <c r="C66" s="13" t="str">
        <f>IF($A66="","",IF($A66&lt;='HELOC Calculator'!$B$14,"Draw","Repayment"))</f>
        <v>Draw</v>
      </c>
      <c r="D66" s="15">
        <f t="shared" si="3"/>
        <v>45000</v>
      </c>
      <c r="E66" s="15">
        <f>IF($A66="","",IF($C66="Draw",'HELOC Calculator'!$B$7,0))</f>
        <v>0</v>
      </c>
      <c r="F66" s="15">
        <f>IF($A66="","",$D66*('HELOC Calculator'!$B$8/12))</f>
        <v>318.75</v>
      </c>
      <c r="G66" s="15">
        <f>IF($A66="","",IF($C66="Draw",$F66,'HELOC Calculator'!$B$18))</f>
        <v>318.75</v>
      </c>
      <c r="H66" s="15">
        <f t="shared" ref="H66:H129" si="4">IF($A66="","",IF($C66="Draw",0,MAX($G66-$F66,0)))</f>
        <v>0</v>
      </c>
      <c r="I66" s="15">
        <f t="shared" ref="I66:I129" si="5">IF($A66="","",MAX($D66+$E66-$H66,0))</f>
        <v>45000</v>
      </c>
    </row>
    <row r="67" spans="1:9" ht="15" customHeight="1" x14ac:dyDescent="0.3">
      <c r="A67" s="13">
        <f>IF(66&lt;='HELOC Calculator'!$B$16,66,"")</f>
        <v>66</v>
      </c>
      <c r="B67" s="14">
        <f t="shared" ref="B67:B130" si="6">IF($A67="","",EDATE($B66,1))</f>
        <v>48183</v>
      </c>
      <c r="C67" s="13" t="str">
        <f>IF($A67="","",IF($A67&lt;='HELOC Calculator'!$B$14,"Draw","Repayment"))</f>
        <v>Draw</v>
      </c>
      <c r="D67" s="15">
        <f t="shared" ref="D67:D130" si="7">IF($A67="","",$I66)</f>
        <v>45000</v>
      </c>
      <c r="E67" s="15">
        <f>IF($A67="","",IF($C67="Draw",'HELOC Calculator'!$B$7,0))</f>
        <v>0</v>
      </c>
      <c r="F67" s="15">
        <f>IF($A67="","",$D67*('HELOC Calculator'!$B$8/12))</f>
        <v>318.75</v>
      </c>
      <c r="G67" s="15">
        <f>IF($A67="","",IF($C67="Draw",$F67,'HELOC Calculator'!$B$18))</f>
        <v>318.75</v>
      </c>
      <c r="H67" s="15">
        <f t="shared" si="4"/>
        <v>0</v>
      </c>
      <c r="I67" s="15">
        <f t="shared" si="5"/>
        <v>45000</v>
      </c>
    </row>
    <row r="68" spans="1:9" ht="15" customHeight="1" x14ac:dyDescent="0.3">
      <c r="A68" s="13">
        <f>IF(67&lt;='HELOC Calculator'!$B$16,67,"")</f>
        <v>67</v>
      </c>
      <c r="B68" s="14">
        <f t="shared" si="6"/>
        <v>48214</v>
      </c>
      <c r="C68" s="13" t="str">
        <f>IF($A68="","",IF($A68&lt;='HELOC Calculator'!$B$14,"Draw","Repayment"))</f>
        <v>Draw</v>
      </c>
      <c r="D68" s="15">
        <f t="shared" si="7"/>
        <v>45000</v>
      </c>
      <c r="E68" s="15">
        <f>IF($A68="","",IF($C68="Draw",'HELOC Calculator'!$B$7,0))</f>
        <v>0</v>
      </c>
      <c r="F68" s="15">
        <f>IF($A68="","",$D68*('HELOC Calculator'!$B$8/12))</f>
        <v>318.75</v>
      </c>
      <c r="G68" s="15">
        <f>IF($A68="","",IF($C68="Draw",$F68,'HELOC Calculator'!$B$18))</f>
        <v>318.75</v>
      </c>
      <c r="H68" s="15">
        <f t="shared" si="4"/>
        <v>0</v>
      </c>
      <c r="I68" s="15">
        <f t="shared" si="5"/>
        <v>45000</v>
      </c>
    </row>
    <row r="69" spans="1:9" ht="15" customHeight="1" x14ac:dyDescent="0.3">
      <c r="A69" s="13">
        <f>IF(68&lt;='HELOC Calculator'!$B$16,68,"")</f>
        <v>68</v>
      </c>
      <c r="B69" s="14">
        <f t="shared" si="6"/>
        <v>48245</v>
      </c>
      <c r="C69" s="13" t="str">
        <f>IF($A69="","",IF($A69&lt;='HELOC Calculator'!$B$14,"Draw","Repayment"))</f>
        <v>Draw</v>
      </c>
      <c r="D69" s="15">
        <f t="shared" si="7"/>
        <v>45000</v>
      </c>
      <c r="E69" s="15">
        <f>IF($A69="","",IF($C69="Draw",'HELOC Calculator'!$B$7,0))</f>
        <v>0</v>
      </c>
      <c r="F69" s="15">
        <f>IF($A69="","",$D69*('HELOC Calculator'!$B$8/12))</f>
        <v>318.75</v>
      </c>
      <c r="G69" s="15">
        <f>IF($A69="","",IF($C69="Draw",$F69,'HELOC Calculator'!$B$18))</f>
        <v>318.75</v>
      </c>
      <c r="H69" s="15">
        <f t="shared" si="4"/>
        <v>0</v>
      </c>
      <c r="I69" s="15">
        <f t="shared" si="5"/>
        <v>45000</v>
      </c>
    </row>
    <row r="70" spans="1:9" ht="15" customHeight="1" x14ac:dyDescent="0.3">
      <c r="A70" s="13">
        <f>IF(69&lt;='HELOC Calculator'!$B$16,69,"")</f>
        <v>69</v>
      </c>
      <c r="B70" s="14">
        <f t="shared" si="6"/>
        <v>48274</v>
      </c>
      <c r="C70" s="13" t="str">
        <f>IF($A70="","",IF($A70&lt;='HELOC Calculator'!$B$14,"Draw","Repayment"))</f>
        <v>Draw</v>
      </c>
      <c r="D70" s="15">
        <f t="shared" si="7"/>
        <v>45000</v>
      </c>
      <c r="E70" s="15">
        <f>IF($A70="","",IF($C70="Draw",'HELOC Calculator'!$B$7,0))</f>
        <v>0</v>
      </c>
      <c r="F70" s="15">
        <f>IF($A70="","",$D70*('HELOC Calculator'!$B$8/12))</f>
        <v>318.75</v>
      </c>
      <c r="G70" s="15">
        <f>IF($A70="","",IF($C70="Draw",$F70,'HELOC Calculator'!$B$18))</f>
        <v>318.75</v>
      </c>
      <c r="H70" s="15">
        <f t="shared" si="4"/>
        <v>0</v>
      </c>
      <c r="I70" s="15">
        <f t="shared" si="5"/>
        <v>45000</v>
      </c>
    </row>
    <row r="71" spans="1:9" ht="15" customHeight="1" x14ac:dyDescent="0.3">
      <c r="A71" s="13">
        <f>IF(70&lt;='HELOC Calculator'!$B$16,70,"")</f>
        <v>70</v>
      </c>
      <c r="B71" s="14">
        <f t="shared" si="6"/>
        <v>48305</v>
      </c>
      <c r="C71" s="13" t="str">
        <f>IF($A71="","",IF($A71&lt;='HELOC Calculator'!$B$14,"Draw","Repayment"))</f>
        <v>Draw</v>
      </c>
      <c r="D71" s="15">
        <f t="shared" si="7"/>
        <v>45000</v>
      </c>
      <c r="E71" s="15">
        <f>IF($A71="","",IF($C71="Draw",'HELOC Calculator'!$B$7,0))</f>
        <v>0</v>
      </c>
      <c r="F71" s="15">
        <f>IF($A71="","",$D71*('HELOC Calculator'!$B$8/12))</f>
        <v>318.75</v>
      </c>
      <c r="G71" s="15">
        <f>IF($A71="","",IF($C71="Draw",$F71,'HELOC Calculator'!$B$18))</f>
        <v>318.75</v>
      </c>
      <c r="H71" s="15">
        <f t="shared" si="4"/>
        <v>0</v>
      </c>
      <c r="I71" s="15">
        <f t="shared" si="5"/>
        <v>45000</v>
      </c>
    </row>
    <row r="72" spans="1:9" ht="15" customHeight="1" x14ac:dyDescent="0.3">
      <c r="A72" s="13">
        <f>IF(71&lt;='HELOC Calculator'!$B$16,71,"")</f>
        <v>71</v>
      </c>
      <c r="B72" s="14">
        <f t="shared" si="6"/>
        <v>48335</v>
      </c>
      <c r="C72" s="13" t="str">
        <f>IF($A72="","",IF($A72&lt;='HELOC Calculator'!$B$14,"Draw","Repayment"))</f>
        <v>Draw</v>
      </c>
      <c r="D72" s="15">
        <f t="shared" si="7"/>
        <v>45000</v>
      </c>
      <c r="E72" s="15">
        <f>IF($A72="","",IF($C72="Draw",'HELOC Calculator'!$B$7,0))</f>
        <v>0</v>
      </c>
      <c r="F72" s="15">
        <f>IF($A72="","",$D72*('HELOC Calculator'!$B$8/12))</f>
        <v>318.75</v>
      </c>
      <c r="G72" s="15">
        <f>IF($A72="","",IF($C72="Draw",$F72,'HELOC Calculator'!$B$18))</f>
        <v>318.75</v>
      </c>
      <c r="H72" s="15">
        <f t="shared" si="4"/>
        <v>0</v>
      </c>
      <c r="I72" s="15">
        <f t="shared" si="5"/>
        <v>45000</v>
      </c>
    </row>
    <row r="73" spans="1:9" ht="15" customHeight="1" x14ac:dyDescent="0.3">
      <c r="A73" s="13">
        <f>IF(72&lt;='HELOC Calculator'!$B$16,72,"")</f>
        <v>72</v>
      </c>
      <c r="B73" s="14">
        <f t="shared" si="6"/>
        <v>48366</v>
      </c>
      <c r="C73" s="13" t="str">
        <f>IF($A73="","",IF($A73&lt;='HELOC Calculator'!$B$14,"Draw","Repayment"))</f>
        <v>Draw</v>
      </c>
      <c r="D73" s="15">
        <f t="shared" si="7"/>
        <v>45000</v>
      </c>
      <c r="E73" s="15">
        <f>IF($A73="","",IF($C73="Draw",'HELOC Calculator'!$B$7,0))</f>
        <v>0</v>
      </c>
      <c r="F73" s="15">
        <f>IF($A73="","",$D73*('HELOC Calculator'!$B$8/12))</f>
        <v>318.75</v>
      </c>
      <c r="G73" s="15">
        <f>IF($A73="","",IF($C73="Draw",$F73,'HELOC Calculator'!$B$18))</f>
        <v>318.75</v>
      </c>
      <c r="H73" s="15">
        <f t="shared" si="4"/>
        <v>0</v>
      </c>
      <c r="I73" s="15">
        <f t="shared" si="5"/>
        <v>45000</v>
      </c>
    </row>
    <row r="74" spans="1:9" ht="15" customHeight="1" x14ac:dyDescent="0.3">
      <c r="A74" s="13">
        <f>IF(73&lt;='HELOC Calculator'!$B$16,73,"")</f>
        <v>73</v>
      </c>
      <c r="B74" s="14">
        <f t="shared" si="6"/>
        <v>48396</v>
      </c>
      <c r="C74" s="13" t="str">
        <f>IF($A74="","",IF($A74&lt;='HELOC Calculator'!$B$14,"Draw","Repayment"))</f>
        <v>Draw</v>
      </c>
      <c r="D74" s="15">
        <f t="shared" si="7"/>
        <v>45000</v>
      </c>
      <c r="E74" s="15">
        <f>IF($A74="","",IF($C74="Draw",'HELOC Calculator'!$B$7,0))</f>
        <v>0</v>
      </c>
      <c r="F74" s="15">
        <f>IF($A74="","",$D74*('HELOC Calculator'!$B$8/12))</f>
        <v>318.75</v>
      </c>
      <c r="G74" s="15">
        <f>IF($A74="","",IF($C74="Draw",$F74,'HELOC Calculator'!$B$18))</f>
        <v>318.75</v>
      </c>
      <c r="H74" s="15">
        <f t="shared" si="4"/>
        <v>0</v>
      </c>
      <c r="I74" s="15">
        <f t="shared" si="5"/>
        <v>45000</v>
      </c>
    </row>
    <row r="75" spans="1:9" ht="15" customHeight="1" x14ac:dyDescent="0.3">
      <c r="A75" s="13">
        <f>IF(74&lt;='HELOC Calculator'!$B$16,74,"")</f>
        <v>74</v>
      </c>
      <c r="B75" s="14">
        <f t="shared" si="6"/>
        <v>48427</v>
      </c>
      <c r="C75" s="13" t="str">
        <f>IF($A75="","",IF($A75&lt;='HELOC Calculator'!$B$14,"Draw","Repayment"))</f>
        <v>Draw</v>
      </c>
      <c r="D75" s="15">
        <f t="shared" si="7"/>
        <v>45000</v>
      </c>
      <c r="E75" s="15">
        <f>IF($A75="","",IF($C75="Draw",'HELOC Calculator'!$B$7,0))</f>
        <v>0</v>
      </c>
      <c r="F75" s="15">
        <f>IF($A75="","",$D75*('HELOC Calculator'!$B$8/12))</f>
        <v>318.75</v>
      </c>
      <c r="G75" s="15">
        <f>IF($A75="","",IF($C75="Draw",$F75,'HELOC Calculator'!$B$18))</f>
        <v>318.75</v>
      </c>
      <c r="H75" s="15">
        <f t="shared" si="4"/>
        <v>0</v>
      </c>
      <c r="I75" s="15">
        <f t="shared" si="5"/>
        <v>45000</v>
      </c>
    </row>
    <row r="76" spans="1:9" ht="15" customHeight="1" x14ac:dyDescent="0.3">
      <c r="A76" s="13">
        <f>IF(75&lt;='HELOC Calculator'!$B$16,75,"")</f>
        <v>75</v>
      </c>
      <c r="B76" s="14">
        <f t="shared" si="6"/>
        <v>48458</v>
      </c>
      <c r="C76" s="13" t="str">
        <f>IF($A76="","",IF($A76&lt;='HELOC Calculator'!$B$14,"Draw","Repayment"))</f>
        <v>Draw</v>
      </c>
      <c r="D76" s="15">
        <f t="shared" si="7"/>
        <v>45000</v>
      </c>
      <c r="E76" s="15">
        <f>IF($A76="","",IF($C76="Draw",'HELOC Calculator'!$B$7,0))</f>
        <v>0</v>
      </c>
      <c r="F76" s="15">
        <f>IF($A76="","",$D76*('HELOC Calculator'!$B$8/12))</f>
        <v>318.75</v>
      </c>
      <c r="G76" s="15">
        <f>IF($A76="","",IF($C76="Draw",$F76,'HELOC Calculator'!$B$18))</f>
        <v>318.75</v>
      </c>
      <c r="H76" s="15">
        <f t="shared" si="4"/>
        <v>0</v>
      </c>
      <c r="I76" s="15">
        <f t="shared" si="5"/>
        <v>45000</v>
      </c>
    </row>
    <row r="77" spans="1:9" ht="15" customHeight="1" x14ac:dyDescent="0.3">
      <c r="A77" s="13">
        <f>IF(76&lt;='HELOC Calculator'!$B$16,76,"")</f>
        <v>76</v>
      </c>
      <c r="B77" s="14">
        <f t="shared" si="6"/>
        <v>48488</v>
      </c>
      <c r="C77" s="13" t="str">
        <f>IF($A77="","",IF($A77&lt;='HELOC Calculator'!$B$14,"Draw","Repayment"))</f>
        <v>Draw</v>
      </c>
      <c r="D77" s="15">
        <f t="shared" si="7"/>
        <v>45000</v>
      </c>
      <c r="E77" s="15">
        <f>IF($A77="","",IF($C77="Draw",'HELOC Calculator'!$B$7,0))</f>
        <v>0</v>
      </c>
      <c r="F77" s="15">
        <f>IF($A77="","",$D77*('HELOC Calculator'!$B$8/12))</f>
        <v>318.75</v>
      </c>
      <c r="G77" s="15">
        <f>IF($A77="","",IF($C77="Draw",$F77,'HELOC Calculator'!$B$18))</f>
        <v>318.75</v>
      </c>
      <c r="H77" s="15">
        <f t="shared" si="4"/>
        <v>0</v>
      </c>
      <c r="I77" s="15">
        <f t="shared" si="5"/>
        <v>45000</v>
      </c>
    </row>
    <row r="78" spans="1:9" ht="15" customHeight="1" x14ac:dyDescent="0.3">
      <c r="A78" s="13">
        <f>IF(77&lt;='HELOC Calculator'!$B$16,77,"")</f>
        <v>77</v>
      </c>
      <c r="B78" s="14">
        <f t="shared" si="6"/>
        <v>48519</v>
      </c>
      <c r="C78" s="13" t="str">
        <f>IF($A78="","",IF($A78&lt;='HELOC Calculator'!$B$14,"Draw","Repayment"))</f>
        <v>Draw</v>
      </c>
      <c r="D78" s="15">
        <f t="shared" si="7"/>
        <v>45000</v>
      </c>
      <c r="E78" s="15">
        <f>IF($A78="","",IF($C78="Draw",'HELOC Calculator'!$B$7,0))</f>
        <v>0</v>
      </c>
      <c r="F78" s="15">
        <f>IF($A78="","",$D78*('HELOC Calculator'!$B$8/12))</f>
        <v>318.75</v>
      </c>
      <c r="G78" s="15">
        <f>IF($A78="","",IF($C78="Draw",$F78,'HELOC Calculator'!$B$18))</f>
        <v>318.75</v>
      </c>
      <c r="H78" s="15">
        <f t="shared" si="4"/>
        <v>0</v>
      </c>
      <c r="I78" s="15">
        <f t="shared" si="5"/>
        <v>45000</v>
      </c>
    </row>
    <row r="79" spans="1:9" ht="15" customHeight="1" x14ac:dyDescent="0.3">
      <c r="A79" s="13">
        <f>IF(78&lt;='HELOC Calculator'!$B$16,78,"")</f>
        <v>78</v>
      </c>
      <c r="B79" s="14">
        <f t="shared" si="6"/>
        <v>48549</v>
      </c>
      <c r="C79" s="13" t="str">
        <f>IF($A79="","",IF($A79&lt;='HELOC Calculator'!$B$14,"Draw","Repayment"))</f>
        <v>Draw</v>
      </c>
      <c r="D79" s="15">
        <f t="shared" si="7"/>
        <v>45000</v>
      </c>
      <c r="E79" s="15">
        <f>IF($A79="","",IF($C79="Draw",'HELOC Calculator'!$B$7,0))</f>
        <v>0</v>
      </c>
      <c r="F79" s="15">
        <f>IF($A79="","",$D79*('HELOC Calculator'!$B$8/12))</f>
        <v>318.75</v>
      </c>
      <c r="G79" s="15">
        <f>IF($A79="","",IF($C79="Draw",$F79,'HELOC Calculator'!$B$18))</f>
        <v>318.75</v>
      </c>
      <c r="H79" s="15">
        <f t="shared" si="4"/>
        <v>0</v>
      </c>
      <c r="I79" s="15">
        <f t="shared" si="5"/>
        <v>45000</v>
      </c>
    </row>
    <row r="80" spans="1:9" ht="15" customHeight="1" x14ac:dyDescent="0.3">
      <c r="A80" s="13">
        <f>IF(79&lt;='HELOC Calculator'!$B$16,79,"")</f>
        <v>79</v>
      </c>
      <c r="B80" s="14">
        <f t="shared" si="6"/>
        <v>48580</v>
      </c>
      <c r="C80" s="13" t="str">
        <f>IF($A80="","",IF($A80&lt;='HELOC Calculator'!$B$14,"Draw","Repayment"))</f>
        <v>Draw</v>
      </c>
      <c r="D80" s="15">
        <f t="shared" si="7"/>
        <v>45000</v>
      </c>
      <c r="E80" s="15">
        <f>IF($A80="","",IF($C80="Draw",'HELOC Calculator'!$B$7,0))</f>
        <v>0</v>
      </c>
      <c r="F80" s="15">
        <f>IF($A80="","",$D80*('HELOC Calculator'!$B$8/12))</f>
        <v>318.75</v>
      </c>
      <c r="G80" s="15">
        <f>IF($A80="","",IF($C80="Draw",$F80,'HELOC Calculator'!$B$18))</f>
        <v>318.75</v>
      </c>
      <c r="H80" s="15">
        <f t="shared" si="4"/>
        <v>0</v>
      </c>
      <c r="I80" s="15">
        <f t="shared" si="5"/>
        <v>45000</v>
      </c>
    </row>
    <row r="81" spans="1:9" ht="15" customHeight="1" x14ac:dyDescent="0.3">
      <c r="A81" s="13">
        <f>IF(80&lt;='HELOC Calculator'!$B$16,80,"")</f>
        <v>80</v>
      </c>
      <c r="B81" s="14">
        <f t="shared" si="6"/>
        <v>48611</v>
      </c>
      <c r="C81" s="13" t="str">
        <f>IF($A81="","",IF($A81&lt;='HELOC Calculator'!$B$14,"Draw","Repayment"))</f>
        <v>Draw</v>
      </c>
      <c r="D81" s="15">
        <f t="shared" si="7"/>
        <v>45000</v>
      </c>
      <c r="E81" s="15">
        <f>IF($A81="","",IF($C81="Draw",'HELOC Calculator'!$B$7,0))</f>
        <v>0</v>
      </c>
      <c r="F81" s="15">
        <f>IF($A81="","",$D81*('HELOC Calculator'!$B$8/12))</f>
        <v>318.75</v>
      </c>
      <c r="G81" s="15">
        <f>IF($A81="","",IF($C81="Draw",$F81,'HELOC Calculator'!$B$18))</f>
        <v>318.75</v>
      </c>
      <c r="H81" s="15">
        <f t="shared" si="4"/>
        <v>0</v>
      </c>
      <c r="I81" s="15">
        <f t="shared" si="5"/>
        <v>45000</v>
      </c>
    </row>
    <row r="82" spans="1:9" ht="15" customHeight="1" x14ac:dyDescent="0.3">
      <c r="A82" s="13">
        <f>IF(81&lt;='HELOC Calculator'!$B$16,81,"")</f>
        <v>81</v>
      </c>
      <c r="B82" s="14">
        <f t="shared" si="6"/>
        <v>48639</v>
      </c>
      <c r="C82" s="13" t="str">
        <f>IF($A82="","",IF($A82&lt;='HELOC Calculator'!$B$14,"Draw","Repayment"))</f>
        <v>Draw</v>
      </c>
      <c r="D82" s="15">
        <f t="shared" si="7"/>
        <v>45000</v>
      </c>
      <c r="E82" s="15">
        <f>IF($A82="","",IF($C82="Draw",'HELOC Calculator'!$B$7,0))</f>
        <v>0</v>
      </c>
      <c r="F82" s="15">
        <f>IF($A82="","",$D82*('HELOC Calculator'!$B$8/12))</f>
        <v>318.75</v>
      </c>
      <c r="G82" s="15">
        <f>IF($A82="","",IF($C82="Draw",$F82,'HELOC Calculator'!$B$18))</f>
        <v>318.75</v>
      </c>
      <c r="H82" s="15">
        <f t="shared" si="4"/>
        <v>0</v>
      </c>
      <c r="I82" s="15">
        <f t="shared" si="5"/>
        <v>45000</v>
      </c>
    </row>
    <row r="83" spans="1:9" ht="15" customHeight="1" x14ac:dyDescent="0.3">
      <c r="A83" s="13">
        <f>IF(82&lt;='HELOC Calculator'!$B$16,82,"")</f>
        <v>82</v>
      </c>
      <c r="B83" s="14">
        <f t="shared" si="6"/>
        <v>48670</v>
      </c>
      <c r="C83" s="13" t="str">
        <f>IF($A83="","",IF($A83&lt;='HELOC Calculator'!$B$14,"Draw","Repayment"))</f>
        <v>Draw</v>
      </c>
      <c r="D83" s="15">
        <f t="shared" si="7"/>
        <v>45000</v>
      </c>
      <c r="E83" s="15">
        <f>IF($A83="","",IF($C83="Draw",'HELOC Calculator'!$B$7,0))</f>
        <v>0</v>
      </c>
      <c r="F83" s="15">
        <f>IF($A83="","",$D83*('HELOC Calculator'!$B$8/12))</f>
        <v>318.75</v>
      </c>
      <c r="G83" s="15">
        <f>IF($A83="","",IF($C83="Draw",$F83,'HELOC Calculator'!$B$18))</f>
        <v>318.75</v>
      </c>
      <c r="H83" s="15">
        <f t="shared" si="4"/>
        <v>0</v>
      </c>
      <c r="I83" s="15">
        <f t="shared" si="5"/>
        <v>45000</v>
      </c>
    </row>
    <row r="84" spans="1:9" ht="15" customHeight="1" x14ac:dyDescent="0.3">
      <c r="A84" s="13">
        <f>IF(83&lt;='HELOC Calculator'!$B$16,83,"")</f>
        <v>83</v>
      </c>
      <c r="B84" s="14">
        <f t="shared" si="6"/>
        <v>48700</v>
      </c>
      <c r="C84" s="13" t="str">
        <f>IF($A84="","",IF($A84&lt;='HELOC Calculator'!$B$14,"Draw","Repayment"))</f>
        <v>Draw</v>
      </c>
      <c r="D84" s="15">
        <f t="shared" si="7"/>
        <v>45000</v>
      </c>
      <c r="E84" s="15">
        <f>IF($A84="","",IF($C84="Draw",'HELOC Calculator'!$B$7,0))</f>
        <v>0</v>
      </c>
      <c r="F84" s="15">
        <f>IF($A84="","",$D84*('HELOC Calculator'!$B$8/12))</f>
        <v>318.75</v>
      </c>
      <c r="G84" s="15">
        <f>IF($A84="","",IF($C84="Draw",$F84,'HELOC Calculator'!$B$18))</f>
        <v>318.75</v>
      </c>
      <c r="H84" s="15">
        <f t="shared" si="4"/>
        <v>0</v>
      </c>
      <c r="I84" s="15">
        <f t="shared" si="5"/>
        <v>45000</v>
      </c>
    </row>
    <row r="85" spans="1:9" ht="15" customHeight="1" x14ac:dyDescent="0.3">
      <c r="A85" s="13">
        <f>IF(84&lt;='HELOC Calculator'!$B$16,84,"")</f>
        <v>84</v>
      </c>
      <c r="B85" s="14">
        <f t="shared" si="6"/>
        <v>48731</v>
      </c>
      <c r="C85" s="13" t="str">
        <f>IF($A85="","",IF($A85&lt;='HELOC Calculator'!$B$14,"Draw","Repayment"))</f>
        <v>Draw</v>
      </c>
      <c r="D85" s="15">
        <f t="shared" si="7"/>
        <v>45000</v>
      </c>
      <c r="E85" s="15">
        <f>IF($A85="","",IF($C85="Draw",'HELOC Calculator'!$B$7,0))</f>
        <v>0</v>
      </c>
      <c r="F85" s="15">
        <f>IF($A85="","",$D85*('HELOC Calculator'!$B$8/12))</f>
        <v>318.75</v>
      </c>
      <c r="G85" s="15">
        <f>IF($A85="","",IF($C85="Draw",$F85,'HELOC Calculator'!$B$18))</f>
        <v>318.75</v>
      </c>
      <c r="H85" s="15">
        <f t="shared" si="4"/>
        <v>0</v>
      </c>
      <c r="I85" s="15">
        <f t="shared" si="5"/>
        <v>45000</v>
      </c>
    </row>
    <row r="86" spans="1:9" ht="15" customHeight="1" x14ac:dyDescent="0.3">
      <c r="A86" s="13">
        <f>IF(85&lt;='HELOC Calculator'!$B$16,85,"")</f>
        <v>85</v>
      </c>
      <c r="B86" s="14">
        <f t="shared" si="6"/>
        <v>48761</v>
      </c>
      <c r="C86" s="13" t="str">
        <f>IF($A86="","",IF($A86&lt;='HELOC Calculator'!$B$14,"Draw","Repayment"))</f>
        <v>Draw</v>
      </c>
      <c r="D86" s="15">
        <f t="shared" si="7"/>
        <v>45000</v>
      </c>
      <c r="E86" s="15">
        <f>IF($A86="","",IF($C86="Draw",'HELOC Calculator'!$B$7,0))</f>
        <v>0</v>
      </c>
      <c r="F86" s="15">
        <f>IF($A86="","",$D86*('HELOC Calculator'!$B$8/12))</f>
        <v>318.75</v>
      </c>
      <c r="G86" s="15">
        <f>IF($A86="","",IF($C86="Draw",$F86,'HELOC Calculator'!$B$18))</f>
        <v>318.75</v>
      </c>
      <c r="H86" s="15">
        <f t="shared" si="4"/>
        <v>0</v>
      </c>
      <c r="I86" s="15">
        <f t="shared" si="5"/>
        <v>45000</v>
      </c>
    </row>
    <row r="87" spans="1:9" ht="15" customHeight="1" x14ac:dyDescent="0.3">
      <c r="A87" s="13">
        <f>IF(86&lt;='HELOC Calculator'!$B$16,86,"")</f>
        <v>86</v>
      </c>
      <c r="B87" s="14">
        <f t="shared" si="6"/>
        <v>48792</v>
      </c>
      <c r="C87" s="13" t="str">
        <f>IF($A87="","",IF($A87&lt;='HELOC Calculator'!$B$14,"Draw","Repayment"))</f>
        <v>Draw</v>
      </c>
      <c r="D87" s="15">
        <f t="shared" si="7"/>
        <v>45000</v>
      </c>
      <c r="E87" s="15">
        <f>IF($A87="","",IF($C87="Draw",'HELOC Calculator'!$B$7,0))</f>
        <v>0</v>
      </c>
      <c r="F87" s="15">
        <f>IF($A87="","",$D87*('HELOC Calculator'!$B$8/12))</f>
        <v>318.75</v>
      </c>
      <c r="G87" s="15">
        <f>IF($A87="","",IF($C87="Draw",$F87,'HELOC Calculator'!$B$18))</f>
        <v>318.75</v>
      </c>
      <c r="H87" s="15">
        <f t="shared" si="4"/>
        <v>0</v>
      </c>
      <c r="I87" s="15">
        <f t="shared" si="5"/>
        <v>45000</v>
      </c>
    </row>
    <row r="88" spans="1:9" ht="15" customHeight="1" x14ac:dyDescent="0.3">
      <c r="A88" s="13">
        <f>IF(87&lt;='HELOC Calculator'!$B$16,87,"")</f>
        <v>87</v>
      </c>
      <c r="B88" s="14">
        <f t="shared" si="6"/>
        <v>48823</v>
      </c>
      <c r="C88" s="13" t="str">
        <f>IF($A88="","",IF($A88&lt;='HELOC Calculator'!$B$14,"Draw","Repayment"))</f>
        <v>Draw</v>
      </c>
      <c r="D88" s="15">
        <f t="shared" si="7"/>
        <v>45000</v>
      </c>
      <c r="E88" s="15">
        <f>IF($A88="","",IF($C88="Draw",'HELOC Calculator'!$B$7,0))</f>
        <v>0</v>
      </c>
      <c r="F88" s="15">
        <f>IF($A88="","",$D88*('HELOC Calculator'!$B$8/12))</f>
        <v>318.75</v>
      </c>
      <c r="G88" s="15">
        <f>IF($A88="","",IF($C88="Draw",$F88,'HELOC Calculator'!$B$18))</f>
        <v>318.75</v>
      </c>
      <c r="H88" s="15">
        <f t="shared" si="4"/>
        <v>0</v>
      </c>
      <c r="I88" s="15">
        <f t="shared" si="5"/>
        <v>45000</v>
      </c>
    </row>
    <row r="89" spans="1:9" ht="15" customHeight="1" x14ac:dyDescent="0.3">
      <c r="A89" s="13">
        <f>IF(88&lt;='HELOC Calculator'!$B$16,88,"")</f>
        <v>88</v>
      </c>
      <c r="B89" s="14">
        <f t="shared" si="6"/>
        <v>48853</v>
      </c>
      <c r="C89" s="13" t="str">
        <f>IF($A89="","",IF($A89&lt;='HELOC Calculator'!$B$14,"Draw","Repayment"))</f>
        <v>Draw</v>
      </c>
      <c r="D89" s="15">
        <f t="shared" si="7"/>
        <v>45000</v>
      </c>
      <c r="E89" s="15">
        <f>IF($A89="","",IF($C89="Draw",'HELOC Calculator'!$B$7,0))</f>
        <v>0</v>
      </c>
      <c r="F89" s="15">
        <f>IF($A89="","",$D89*('HELOC Calculator'!$B$8/12))</f>
        <v>318.75</v>
      </c>
      <c r="G89" s="15">
        <f>IF($A89="","",IF($C89="Draw",$F89,'HELOC Calculator'!$B$18))</f>
        <v>318.75</v>
      </c>
      <c r="H89" s="15">
        <f t="shared" si="4"/>
        <v>0</v>
      </c>
      <c r="I89" s="15">
        <f t="shared" si="5"/>
        <v>45000</v>
      </c>
    </row>
    <row r="90" spans="1:9" ht="15" customHeight="1" x14ac:dyDescent="0.3">
      <c r="A90" s="13">
        <f>IF(89&lt;='HELOC Calculator'!$B$16,89,"")</f>
        <v>89</v>
      </c>
      <c r="B90" s="14">
        <f t="shared" si="6"/>
        <v>48884</v>
      </c>
      <c r="C90" s="13" t="str">
        <f>IF($A90="","",IF($A90&lt;='HELOC Calculator'!$B$14,"Draw","Repayment"))</f>
        <v>Draw</v>
      </c>
      <c r="D90" s="15">
        <f t="shared" si="7"/>
        <v>45000</v>
      </c>
      <c r="E90" s="15">
        <f>IF($A90="","",IF($C90="Draw",'HELOC Calculator'!$B$7,0))</f>
        <v>0</v>
      </c>
      <c r="F90" s="15">
        <f>IF($A90="","",$D90*('HELOC Calculator'!$B$8/12))</f>
        <v>318.75</v>
      </c>
      <c r="G90" s="15">
        <f>IF($A90="","",IF($C90="Draw",$F90,'HELOC Calculator'!$B$18))</f>
        <v>318.75</v>
      </c>
      <c r="H90" s="15">
        <f t="shared" si="4"/>
        <v>0</v>
      </c>
      <c r="I90" s="15">
        <f t="shared" si="5"/>
        <v>45000</v>
      </c>
    </row>
    <row r="91" spans="1:9" ht="15" customHeight="1" x14ac:dyDescent="0.3">
      <c r="A91" s="13">
        <f>IF(90&lt;='HELOC Calculator'!$B$16,90,"")</f>
        <v>90</v>
      </c>
      <c r="B91" s="14">
        <f t="shared" si="6"/>
        <v>48914</v>
      </c>
      <c r="C91" s="13" t="str">
        <f>IF($A91="","",IF($A91&lt;='HELOC Calculator'!$B$14,"Draw","Repayment"))</f>
        <v>Draw</v>
      </c>
      <c r="D91" s="15">
        <f t="shared" si="7"/>
        <v>45000</v>
      </c>
      <c r="E91" s="15">
        <f>IF($A91="","",IF($C91="Draw",'HELOC Calculator'!$B$7,0))</f>
        <v>0</v>
      </c>
      <c r="F91" s="15">
        <f>IF($A91="","",$D91*('HELOC Calculator'!$B$8/12))</f>
        <v>318.75</v>
      </c>
      <c r="G91" s="15">
        <f>IF($A91="","",IF($C91="Draw",$F91,'HELOC Calculator'!$B$18))</f>
        <v>318.75</v>
      </c>
      <c r="H91" s="15">
        <f t="shared" si="4"/>
        <v>0</v>
      </c>
      <c r="I91" s="15">
        <f t="shared" si="5"/>
        <v>45000</v>
      </c>
    </row>
    <row r="92" spans="1:9" ht="15" customHeight="1" x14ac:dyDescent="0.3">
      <c r="A92" s="13">
        <f>IF(91&lt;='HELOC Calculator'!$B$16,91,"")</f>
        <v>91</v>
      </c>
      <c r="B92" s="14">
        <f t="shared" si="6"/>
        <v>48945</v>
      </c>
      <c r="C92" s="13" t="str">
        <f>IF($A92="","",IF($A92&lt;='HELOC Calculator'!$B$14,"Draw","Repayment"))</f>
        <v>Draw</v>
      </c>
      <c r="D92" s="15">
        <f t="shared" si="7"/>
        <v>45000</v>
      </c>
      <c r="E92" s="15">
        <f>IF($A92="","",IF($C92="Draw",'HELOC Calculator'!$B$7,0))</f>
        <v>0</v>
      </c>
      <c r="F92" s="15">
        <f>IF($A92="","",$D92*('HELOC Calculator'!$B$8/12))</f>
        <v>318.75</v>
      </c>
      <c r="G92" s="15">
        <f>IF($A92="","",IF($C92="Draw",$F92,'HELOC Calculator'!$B$18))</f>
        <v>318.75</v>
      </c>
      <c r="H92" s="15">
        <f t="shared" si="4"/>
        <v>0</v>
      </c>
      <c r="I92" s="15">
        <f t="shared" si="5"/>
        <v>45000</v>
      </c>
    </row>
    <row r="93" spans="1:9" ht="15" customHeight="1" x14ac:dyDescent="0.3">
      <c r="A93" s="13">
        <f>IF(92&lt;='HELOC Calculator'!$B$16,92,"")</f>
        <v>92</v>
      </c>
      <c r="B93" s="14">
        <f t="shared" si="6"/>
        <v>48976</v>
      </c>
      <c r="C93" s="13" t="str">
        <f>IF($A93="","",IF($A93&lt;='HELOC Calculator'!$B$14,"Draw","Repayment"))</f>
        <v>Draw</v>
      </c>
      <c r="D93" s="15">
        <f t="shared" si="7"/>
        <v>45000</v>
      </c>
      <c r="E93" s="15">
        <f>IF($A93="","",IF($C93="Draw",'HELOC Calculator'!$B$7,0))</f>
        <v>0</v>
      </c>
      <c r="F93" s="15">
        <f>IF($A93="","",$D93*('HELOC Calculator'!$B$8/12))</f>
        <v>318.75</v>
      </c>
      <c r="G93" s="15">
        <f>IF($A93="","",IF($C93="Draw",$F93,'HELOC Calculator'!$B$18))</f>
        <v>318.75</v>
      </c>
      <c r="H93" s="15">
        <f t="shared" si="4"/>
        <v>0</v>
      </c>
      <c r="I93" s="15">
        <f t="shared" si="5"/>
        <v>45000</v>
      </c>
    </row>
    <row r="94" spans="1:9" ht="15" customHeight="1" x14ac:dyDescent="0.3">
      <c r="A94" s="13">
        <f>IF(93&lt;='HELOC Calculator'!$B$16,93,"")</f>
        <v>93</v>
      </c>
      <c r="B94" s="14">
        <f t="shared" si="6"/>
        <v>49004</v>
      </c>
      <c r="C94" s="13" t="str">
        <f>IF($A94="","",IF($A94&lt;='HELOC Calculator'!$B$14,"Draw","Repayment"))</f>
        <v>Draw</v>
      </c>
      <c r="D94" s="15">
        <f t="shared" si="7"/>
        <v>45000</v>
      </c>
      <c r="E94" s="15">
        <f>IF($A94="","",IF($C94="Draw",'HELOC Calculator'!$B$7,0))</f>
        <v>0</v>
      </c>
      <c r="F94" s="15">
        <f>IF($A94="","",$D94*('HELOC Calculator'!$B$8/12))</f>
        <v>318.75</v>
      </c>
      <c r="G94" s="15">
        <f>IF($A94="","",IF($C94="Draw",$F94,'HELOC Calculator'!$B$18))</f>
        <v>318.75</v>
      </c>
      <c r="H94" s="15">
        <f t="shared" si="4"/>
        <v>0</v>
      </c>
      <c r="I94" s="15">
        <f t="shared" si="5"/>
        <v>45000</v>
      </c>
    </row>
    <row r="95" spans="1:9" ht="15" customHeight="1" x14ac:dyDescent="0.3">
      <c r="A95" s="13">
        <f>IF(94&lt;='HELOC Calculator'!$B$16,94,"")</f>
        <v>94</v>
      </c>
      <c r="B95" s="14">
        <f t="shared" si="6"/>
        <v>49035</v>
      </c>
      <c r="C95" s="13" t="str">
        <f>IF($A95="","",IF($A95&lt;='HELOC Calculator'!$B$14,"Draw","Repayment"))</f>
        <v>Draw</v>
      </c>
      <c r="D95" s="15">
        <f t="shared" si="7"/>
        <v>45000</v>
      </c>
      <c r="E95" s="15">
        <f>IF($A95="","",IF($C95="Draw",'HELOC Calculator'!$B$7,0))</f>
        <v>0</v>
      </c>
      <c r="F95" s="15">
        <f>IF($A95="","",$D95*('HELOC Calculator'!$B$8/12))</f>
        <v>318.75</v>
      </c>
      <c r="G95" s="15">
        <f>IF($A95="","",IF($C95="Draw",$F95,'HELOC Calculator'!$B$18))</f>
        <v>318.75</v>
      </c>
      <c r="H95" s="15">
        <f t="shared" si="4"/>
        <v>0</v>
      </c>
      <c r="I95" s="15">
        <f t="shared" si="5"/>
        <v>45000</v>
      </c>
    </row>
    <row r="96" spans="1:9" ht="15" customHeight="1" x14ac:dyDescent="0.3">
      <c r="A96" s="13">
        <f>IF(95&lt;='HELOC Calculator'!$B$16,95,"")</f>
        <v>95</v>
      </c>
      <c r="B96" s="14">
        <f t="shared" si="6"/>
        <v>49065</v>
      </c>
      <c r="C96" s="13" t="str">
        <f>IF($A96="","",IF($A96&lt;='HELOC Calculator'!$B$14,"Draw","Repayment"))</f>
        <v>Draw</v>
      </c>
      <c r="D96" s="15">
        <f t="shared" si="7"/>
        <v>45000</v>
      </c>
      <c r="E96" s="15">
        <f>IF($A96="","",IF($C96="Draw",'HELOC Calculator'!$B$7,0))</f>
        <v>0</v>
      </c>
      <c r="F96" s="15">
        <f>IF($A96="","",$D96*('HELOC Calculator'!$B$8/12))</f>
        <v>318.75</v>
      </c>
      <c r="G96" s="15">
        <f>IF($A96="","",IF($C96="Draw",$F96,'HELOC Calculator'!$B$18))</f>
        <v>318.75</v>
      </c>
      <c r="H96" s="15">
        <f t="shared" si="4"/>
        <v>0</v>
      </c>
      <c r="I96" s="15">
        <f t="shared" si="5"/>
        <v>45000</v>
      </c>
    </row>
    <row r="97" spans="1:9" ht="15" customHeight="1" x14ac:dyDescent="0.3">
      <c r="A97" s="13">
        <f>IF(96&lt;='HELOC Calculator'!$B$16,96,"")</f>
        <v>96</v>
      </c>
      <c r="B97" s="14">
        <f t="shared" si="6"/>
        <v>49096</v>
      </c>
      <c r="C97" s="13" t="str">
        <f>IF($A97="","",IF($A97&lt;='HELOC Calculator'!$B$14,"Draw","Repayment"))</f>
        <v>Draw</v>
      </c>
      <c r="D97" s="15">
        <f t="shared" si="7"/>
        <v>45000</v>
      </c>
      <c r="E97" s="15">
        <f>IF($A97="","",IF($C97="Draw",'HELOC Calculator'!$B$7,0))</f>
        <v>0</v>
      </c>
      <c r="F97" s="15">
        <f>IF($A97="","",$D97*('HELOC Calculator'!$B$8/12))</f>
        <v>318.75</v>
      </c>
      <c r="G97" s="15">
        <f>IF($A97="","",IF($C97="Draw",$F97,'HELOC Calculator'!$B$18))</f>
        <v>318.75</v>
      </c>
      <c r="H97" s="15">
        <f t="shared" si="4"/>
        <v>0</v>
      </c>
      <c r="I97" s="15">
        <f t="shared" si="5"/>
        <v>45000</v>
      </c>
    </row>
    <row r="98" spans="1:9" ht="15" customHeight="1" x14ac:dyDescent="0.3">
      <c r="A98" s="13">
        <f>IF(97&lt;='HELOC Calculator'!$B$16,97,"")</f>
        <v>97</v>
      </c>
      <c r="B98" s="14">
        <f t="shared" si="6"/>
        <v>49126</v>
      </c>
      <c r="C98" s="13" t="str">
        <f>IF($A98="","",IF($A98&lt;='HELOC Calculator'!$B$14,"Draw","Repayment"))</f>
        <v>Draw</v>
      </c>
      <c r="D98" s="15">
        <f t="shared" si="7"/>
        <v>45000</v>
      </c>
      <c r="E98" s="15">
        <f>IF($A98="","",IF($C98="Draw",'HELOC Calculator'!$B$7,0))</f>
        <v>0</v>
      </c>
      <c r="F98" s="15">
        <f>IF($A98="","",$D98*('HELOC Calculator'!$B$8/12))</f>
        <v>318.75</v>
      </c>
      <c r="G98" s="15">
        <f>IF($A98="","",IF($C98="Draw",$F98,'HELOC Calculator'!$B$18))</f>
        <v>318.75</v>
      </c>
      <c r="H98" s="15">
        <f t="shared" si="4"/>
        <v>0</v>
      </c>
      <c r="I98" s="15">
        <f t="shared" si="5"/>
        <v>45000</v>
      </c>
    </row>
    <row r="99" spans="1:9" ht="15" customHeight="1" x14ac:dyDescent="0.3">
      <c r="A99" s="13">
        <f>IF(98&lt;='HELOC Calculator'!$B$16,98,"")</f>
        <v>98</v>
      </c>
      <c r="B99" s="14">
        <f t="shared" si="6"/>
        <v>49157</v>
      </c>
      <c r="C99" s="13" t="str">
        <f>IF($A99="","",IF($A99&lt;='HELOC Calculator'!$B$14,"Draw","Repayment"))</f>
        <v>Draw</v>
      </c>
      <c r="D99" s="15">
        <f t="shared" si="7"/>
        <v>45000</v>
      </c>
      <c r="E99" s="15">
        <f>IF($A99="","",IF($C99="Draw",'HELOC Calculator'!$B$7,0))</f>
        <v>0</v>
      </c>
      <c r="F99" s="15">
        <f>IF($A99="","",$D99*('HELOC Calculator'!$B$8/12))</f>
        <v>318.75</v>
      </c>
      <c r="G99" s="15">
        <f>IF($A99="","",IF($C99="Draw",$F99,'HELOC Calculator'!$B$18))</f>
        <v>318.75</v>
      </c>
      <c r="H99" s="15">
        <f t="shared" si="4"/>
        <v>0</v>
      </c>
      <c r="I99" s="15">
        <f t="shared" si="5"/>
        <v>45000</v>
      </c>
    </row>
    <row r="100" spans="1:9" ht="15" customHeight="1" x14ac:dyDescent="0.3">
      <c r="A100" s="13">
        <f>IF(99&lt;='HELOC Calculator'!$B$16,99,"")</f>
        <v>99</v>
      </c>
      <c r="B100" s="14">
        <f t="shared" si="6"/>
        <v>49188</v>
      </c>
      <c r="C100" s="13" t="str">
        <f>IF($A100="","",IF($A100&lt;='HELOC Calculator'!$B$14,"Draw","Repayment"))</f>
        <v>Draw</v>
      </c>
      <c r="D100" s="15">
        <f t="shared" si="7"/>
        <v>45000</v>
      </c>
      <c r="E100" s="15">
        <f>IF($A100="","",IF($C100="Draw",'HELOC Calculator'!$B$7,0))</f>
        <v>0</v>
      </c>
      <c r="F100" s="15">
        <f>IF($A100="","",$D100*('HELOC Calculator'!$B$8/12))</f>
        <v>318.75</v>
      </c>
      <c r="G100" s="15">
        <f>IF($A100="","",IF($C100="Draw",$F100,'HELOC Calculator'!$B$18))</f>
        <v>318.75</v>
      </c>
      <c r="H100" s="15">
        <f t="shared" si="4"/>
        <v>0</v>
      </c>
      <c r="I100" s="15">
        <f t="shared" si="5"/>
        <v>45000</v>
      </c>
    </row>
    <row r="101" spans="1:9" ht="15" customHeight="1" x14ac:dyDescent="0.3">
      <c r="A101" s="13">
        <f>IF(100&lt;='HELOC Calculator'!$B$16,100,"")</f>
        <v>100</v>
      </c>
      <c r="B101" s="14">
        <f t="shared" si="6"/>
        <v>49218</v>
      </c>
      <c r="C101" s="13" t="str">
        <f>IF($A101="","",IF($A101&lt;='HELOC Calculator'!$B$14,"Draw","Repayment"))</f>
        <v>Draw</v>
      </c>
      <c r="D101" s="15">
        <f t="shared" si="7"/>
        <v>45000</v>
      </c>
      <c r="E101" s="15">
        <f>IF($A101="","",IF($C101="Draw",'HELOC Calculator'!$B$7,0))</f>
        <v>0</v>
      </c>
      <c r="F101" s="15">
        <f>IF($A101="","",$D101*('HELOC Calculator'!$B$8/12))</f>
        <v>318.75</v>
      </c>
      <c r="G101" s="15">
        <f>IF($A101="","",IF($C101="Draw",$F101,'HELOC Calculator'!$B$18))</f>
        <v>318.75</v>
      </c>
      <c r="H101" s="15">
        <f t="shared" si="4"/>
        <v>0</v>
      </c>
      <c r="I101" s="15">
        <f t="shared" si="5"/>
        <v>45000</v>
      </c>
    </row>
    <row r="102" spans="1:9" ht="15" customHeight="1" x14ac:dyDescent="0.3">
      <c r="A102" s="13">
        <f>IF(101&lt;='HELOC Calculator'!$B$16,101,"")</f>
        <v>101</v>
      </c>
      <c r="B102" s="14">
        <f t="shared" si="6"/>
        <v>49249</v>
      </c>
      <c r="C102" s="13" t="str">
        <f>IF($A102="","",IF($A102&lt;='HELOC Calculator'!$B$14,"Draw","Repayment"))</f>
        <v>Draw</v>
      </c>
      <c r="D102" s="15">
        <f t="shared" si="7"/>
        <v>45000</v>
      </c>
      <c r="E102" s="15">
        <f>IF($A102="","",IF($C102="Draw",'HELOC Calculator'!$B$7,0))</f>
        <v>0</v>
      </c>
      <c r="F102" s="15">
        <f>IF($A102="","",$D102*('HELOC Calculator'!$B$8/12))</f>
        <v>318.75</v>
      </c>
      <c r="G102" s="15">
        <f>IF($A102="","",IF($C102="Draw",$F102,'HELOC Calculator'!$B$18))</f>
        <v>318.75</v>
      </c>
      <c r="H102" s="15">
        <f t="shared" si="4"/>
        <v>0</v>
      </c>
      <c r="I102" s="15">
        <f t="shared" si="5"/>
        <v>45000</v>
      </c>
    </row>
    <row r="103" spans="1:9" ht="15" customHeight="1" x14ac:dyDescent="0.3">
      <c r="A103" s="13">
        <f>IF(102&lt;='HELOC Calculator'!$B$16,102,"")</f>
        <v>102</v>
      </c>
      <c r="B103" s="14">
        <f t="shared" si="6"/>
        <v>49279</v>
      </c>
      <c r="C103" s="13" t="str">
        <f>IF($A103="","",IF($A103&lt;='HELOC Calculator'!$B$14,"Draw","Repayment"))</f>
        <v>Draw</v>
      </c>
      <c r="D103" s="15">
        <f t="shared" si="7"/>
        <v>45000</v>
      </c>
      <c r="E103" s="15">
        <f>IF($A103="","",IF($C103="Draw",'HELOC Calculator'!$B$7,0))</f>
        <v>0</v>
      </c>
      <c r="F103" s="15">
        <f>IF($A103="","",$D103*('HELOC Calculator'!$B$8/12))</f>
        <v>318.75</v>
      </c>
      <c r="G103" s="15">
        <f>IF($A103="","",IF($C103="Draw",$F103,'HELOC Calculator'!$B$18))</f>
        <v>318.75</v>
      </c>
      <c r="H103" s="15">
        <f t="shared" si="4"/>
        <v>0</v>
      </c>
      <c r="I103" s="15">
        <f t="shared" si="5"/>
        <v>45000</v>
      </c>
    </row>
    <row r="104" spans="1:9" ht="15" customHeight="1" x14ac:dyDescent="0.3">
      <c r="A104" s="13">
        <f>IF(103&lt;='HELOC Calculator'!$B$16,103,"")</f>
        <v>103</v>
      </c>
      <c r="B104" s="14">
        <f t="shared" si="6"/>
        <v>49310</v>
      </c>
      <c r="C104" s="13" t="str">
        <f>IF($A104="","",IF($A104&lt;='HELOC Calculator'!$B$14,"Draw","Repayment"))</f>
        <v>Draw</v>
      </c>
      <c r="D104" s="15">
        <f t="shared" si="7"/>
        <v>45000</v>
      </c>
      <c r="E104" s="15">
        <f>IF($A104="","",IF($C104="Draw",'HELOC Calculator'!$B$7,0))</f>
        <v>0</v>
      </c>
      <c r="F104" s="15">
        <f>IF($A104="","",$D104*('HELOC Calculator'!$B$8/12))</f>
        <v>318.75</v>
      </c>
      <c r="G104" s="15">
        <f>IF($A104="","",IF($C104="Draw",$F104,'HELOC Calculator'!$B$18))</f>
        <v>318.75</v>
      </c>
      <c r="H104" s="15">
        <f t="shared" si="4"/>
        <v>0</v>
      </c>
      <c r="I104" s="15">
        <f t="shared" si="5"/>
        <v>45000</v>
      </c>
    </row>
    <row r="105" spans="1:9" ht="15" customHeight="1" x14ac:dyDescent="0.3">
      <c r="A105" s="13">
        <f>IF(104&lt;='HELOC Calculator'!$B$16,104,"")</f>
        <v>104</v>
      </c>
      <c r="B105" s="14">
        <f t="shared" si="6"/>
        <v>49341</v>
      </c>
      <c r="C105" s="13" t="str">
        <f>IF($A105="","",IF($A105&lt;='HELOC Calculator'!$B$14,"Draw","Repayment"))</f>
        <v>Draw</v>
      </c>
      <c r="D105" s="15">
        <f t="shared" si="7"/>
        <v>45000</v>
      </c>
      <c r="E105" s="15">
        <f>IF($A105="","",IF($C105="Draw",'HELOC Calculator'!$B$7,0))</f>
        <v>0</v>
      </c>
      <c r="F105" s="15">
        <f>IF($A105="","",$D105*('HELOC Calculator'!$B$8/12))</f>
        <v>318.75</v>
      </c>
      <c r="G105" s="15">
        <f>IF($A105="","",IF($C105="Draw",$F105,'HELOC Calculator'!$B$18))</f>
        <v>318.75</v>
      </c>
      <c r="H105" s="15">
        <f t="shared" si="4"/>
        <v>0</v>
      </c>
      <c r="I105" s="15">
        <f t="shared" si="5"/>
        <v>45000</v>
      </c>
    </row>
    <row r="106" spans="1:9" ht="15" customHeight="1" x14ac:dyDescent="0.3">
      <c r="A106" s="13">
        <f>IF(105&lt;='HELOC Calculator'!$B$16,105,"")</f>
        <v>105</v>
      </c>
      <c r="B106" s="14">
        <f t="shared" si="6"/>
        <v>49369</v>
      </c>
      <c r="C106" s="13" t="str">
        <f>IF($A106="","",IF($A106&lt;='HELOC Calculator'!$B$14,"Draw","Repayment"))</f>
        <v>Draw</v>
      </c>
      <c r="D106" s="15">
        <f t="shared" si="7"/>
        <v>45000</v>
      </c>
      <c r="E106" s="15">
        <f>IF($A106="","",IF($C106="Draw",'HELOC Calculator'!$B$7,0))</f>
        <v>0</v>
      </c>
      <c r="F106" s="15">
        <f>IF($A106="","",$D106*('HELOC Calculator'!$B$8/12))</f>
        <v>318.75</v>
      </c>
      <c r="G106" s="15">
        <f>IF($A106="","",IF($C106="Draw",$F106,'HELOC Calculator'!$B$18))</f>
        <v>318.75</v>
      </c>
      <c r="H106" s="15">
        <f t="shared" si="4"/>
        <v>0</v>
      </c>
      <c r="I106" s="15">
        <f t="shared" si="5"/>
        <v>45000</v>
      </c>
    </row>
    <row r="107" spans="1:9" ht="15" customHeight="1" x14ac:dyDescent="0.3">
      <c r="A107" s="13">
        <f>IF(106&lt;='HELOC Calculator'!$B$16,106,"")</f>
        <v>106</v>
      </c>
      <c r="B107" s="14">
        <f t="shared" si="6"/>
        <v>49400</v>
      </c>
      <c r="C107" s="13" t="str">
        <f>IF($A107="","",IF($A107&lt;='HELOC Calculator'!$B$14,"Draw","Repayment"))</f>
        <v>Draw</v>
      </c>
      <c r="D107" s="15">
        <f t="shared" si="7"/>
        <v>45000</v>
      </c>
      <c r="E107" s="15">
        <f>IF($A107="","",IF($C107="Draw",'HELOC Calculator'!$B$7,0))</f>
        <v>0</v>
      </c>
      <c r="F107" s="15">
        <f>IF($A107="","",$D107*('HELOC Calculator'!$B$8/12))</f>
        <v>318.75</v>
      </c>
      <c r="G107" s="15">
        <f>IF($A107="","",IF($C107="Draw",$F107,'HELOC Calculator'!$B$18))</f>
        <v>318.75</v>
      </c>
      <c r="H107" s="15">
        <f t="shared" si="4"/>
        <v>0</v>
      </c>
      <c r="I107" s="15">
        <f t="shared" si="5"/>
        <v>45000</v>
      </c>
    </row>
    <row r="108" spans="1:9" ht="15" customHeight="1" x14ac:dyDescent="0.3">
      <c r="A108" s="13">
        <f>IF(107&lt;='HELOC Calculator'!$B$16,107,"")</f>
        <v>107</v>
      </c>
      <c r="B108" s="14">
        <f t="shared" si="6"/>
        <v>49430</v>
      </c>
      <c r="C108" s="13" t="str">
        <f>IF($A108="","",IF($A108&lt;='HELOC Calculator'!$B$14,"Draw","Repayment"))</f>
        <v>Draw</v>
      </c>
      <c r="D108" s="15">
        <f t="shared" si="7"/>
        <v>45000</v>
      </c>
      <c r="E108" s="15">
        <f>IF($A108="","",IF($C108="Draw",'HELOC Calculator'!$B$7,0))</f>
        <v>0</v>
      </c>
      <c r="F108" s="15">
        <f>IF($A108="","",$D108*('HELOC Calculator'!$B$8/12))</f>
        <v>318.75</v>
      </c>
      <c r="G108" s="15">
        <f>IF($A108="","",IF($C108="Draw",$F108,'HELOC Calculator'!$B$18))</f>
        <v>318.75</v>
      </c>
      <c r="H108" s="15">
        <f t="shared" si="4"/>
        <v>0</v>
      </c>
      <c r="I108" s="15">
        <f t="shared" si="5"/>
        <v>45000</v>
      </c>
    </row>
    <row r="109" spans="1:9" ht="15" customHeight="1" x14ac:dyDescent="0.3">
      <c r="A109" s="13">
        <f>IF(108&lt;='HELOC Calculator'!$B$16,108,"")</f>
        <v>108</v>
      </c>
      <c r="B109" s="14">
        <f t="shared" si="6"/>
        <v>49461</v>
      </c>
      <c r="C109" s="13" t="str">
        <f>IF($A109="","",IF($A109&lt;='HELOC Calculator'!$B$14,"Draw","Repayment"))</f>
        <v>Draw</v>
      </c>
      <c r="D109" s="15">
        <f t="shared" si="7"/>
        <v>45000</v>
      </c>
      <c r="E109" s="15">
        <f>IF($A109="","",IF($C109="Draw",'HELOC Calculator'!$B$7,0))</f>
        <v>0</v>
      </c>
      <c r="F109" s="15">
        <f>IF($A109="","",$D109*('HELOC Calculator'!$B$8/12))</f>
        <v>318.75</v>
      </c>
      <c r="G109" s="15">
        <f>IF($A109="","",IF($C109="Draw",$F109,'HELOC Calculator'!$B$18))</f>
        <v>318.75</v>
      </c>
      <c r="H109" s="15">
        <f t="shared" si="4"/>
        <v>0</v>
      </c>
      <c r="I109" s="15">
        <f t="shared" si="5"/>
        <v>45000</v>
      </c>
    </row>
    <row r="110" spans="1:9" ht="15" customHeight="1" x14ac:dyDescent="0.3">
      <c r="A110" s="13">
        <f>IF(109&lt;='HELOC Calculator'!$B$16,109,"")</f>
        <v>109</v>
      </c>
      <c r="B110" s="14">
        <f t="shared" si="6"/>
        <v>49491</v>
      </c>
      <c r="C110" s="13" t="str">
        <f>IF($A110="","",IF($A110&lt;='HELOC Calculator'!$B$14,"Draw","Repayment"))</f>
        <v>Draw</v>
      </c>
      <c r="D110" s="15">
        <f t="shared" si="7"/>
        <v>45000</v>
      </c>
      <c r="E110" s="15">
        <f>IF($A110="","",IF($C110="Draw",'HELOC Calculator'!$B$7,0))</f>
        <v>0</v>
      </c>
      <c r="F110" s="15">
        <f>IF($A110="","",$D110*('HELOC Calculator'!$B$8/12))</f>
        <v>318.75</v>
      </c>
      <c r="G110" s="15">
        <f>IF($A110="","",IF($C110="Draw",$F110,'HELOC Calculator'!$B$18))</f>
        <v>318.75</v>
      </c>
      <c r="H110" s="15">
        <f t="shared" si="4"/>
        <v>0</v>
      </c>
      <c r="I110" s="15">
        <f t="shared" si="5"/>
        <v>45000</v>
      </c>
    </row>
    <row r="111" spans="1:9" ht="15" customHeight="1" x14ac:dyDescent="0.3">
      <c r="A111" s="13">
        <f>IF(110&lt;='HELOC Calculator'!$B$16,110,"")</f>
        <v>110</v>
      </c>
      <c r="B111" s="14">
        <f t="shared" si="6"/>
        <v>49522</v>
      </c>
      <c r="C111" s="13" t="str">
        <f>IF($A111="","",IF($A111&lt;='HELOC Calculator'!$B$14,"Draw","Repayment"))</f>
        <v>Draw</v>
      </c>
      <c r="D111" s="15">
        <f t="shared" si="7"/>
        <v>45000</v>
      </c>
      <c r="E111" s="15">
        <f>IF($A111="","",IF($C111="Draw",'HELOC Calculator'!$B$7,0))</f>
        <v>0</v>
      </c>
      <c r="F111" s="15">
        <f>IF($A111="","",$D111*('HELOC Calculator'!$B$8/12))</f>
        <v>318.75</v>
      </c>
      <c r="G111" s="15">
        <f>IF($A111="","",IF($C111="Draw",$F111,'HELOC Calculator'!$B$18))</f>
        <v>318.75</v>
      </c>
      <c r="H111" s="15">
        <f t="shared" si="4"/>
        <v>0</v>
      </c>
      <c r="I111" s="15">
        <f t="shared" si="5"/>
        <v>45000</v>
      </c>
    </row>
    <row r="112" spans="1:9" ht="15" customHeight="1" x14ac:dyDescent="0.3">
      <c r="A112" s="13">
        <f>IF(111&lt;='HELOC Calculator'!$B$16,111,"")</f>
        <v>111</v>
      </c>
      <c r="B112" s="14">
        <f t="shared" si="6"/>
        <v>49553</v>
      </c>
      <c r="C112" s="13" t="str">
        <f>IF($A112="","",IF($A112&lt;='HELOC Calculator'!$B$14,"Draw","Repayment"))</f>
        <v>Draw</v>
      </c>
      <c r="D112" s="15">
        <f t="shared" si="7"/>
        <v>45000</v>
      </c>
      <c r="E112" s="15">
        <f>IF($A112="","",IF($C112="Draw",'HELOC Calculator'!$B$7,0))</f>
        <v>0</v>
      </c>
      <c r="F112" s="15">
        <f>IF($A112="","",$D112*('HELOC Calculator'!$B$8/12))</f>
        <v>318.75</v>
      </c>
      <c r="G112" s="15">
        <f>IF($A112="","",IF($C112="Draw",$F112,'HELOC Calculator'!$B$18))</f>
        <v>318.75</v>
      </c>
      <c r="H112" s="15">
        <f t="shared" si="4"/>
        <v>0</v>
      </c>
      <c r="I112" s="15">
        <f t="shared" si="5"/>
        <v>45000</v>
      </c>
    </row>
    <row r="113" spans="1:9" ht="15" customHeight="1" x14ac:dyDescent="0.3">
      <c r="A113" s="13">
        <f>IF(112&lt;='HELOC Calculator'!$B$16,112,"")</f>
        <v>112</v>
      </c>
      <c r="B113" s="14">
        <f t="shared" si="6"/>
        <v>49583</v>
      </c>
      <c r="C113" s="13" t="str">
        <f>IF($A113="","",IF($A113&lt;='HELOC Calculator'!$B$14,"Draw","Repayment"))</f>
        <v>Draw</v>
      </c>
      <c r="D113" s="15">
        <f t="shared" si="7"/>
        <v>45000</v>
      </c>
      <c r="E113" s="15">
        <f>IF($A113="","",IF($C113="Draw",'HELOC Calculator'!$B$7,0))</f>
        <v>0</v>
      </c>
      <c r="F113" s="15">
        <f>IF($A113="","",$D113*('HELOC Calculator'!$B$8/12))</f>
        <v>318.75</v>
      </c>
      <c r="G113" s="15">
        <f>IF($A113="","",IF($C113="Draw",$F113,'HELOC Calculator'!$B$18))</f>
        <v>318.75</v>
      </c>
      <c r="H113" s="15">
        <f t="shared" si="4"/>
        <v>0</v>
      </c>
      <c r="I113" s="15">
        <f t="shared" si="5"/>
        <v>45000</v>
      </c>
    </row>
    <row r="114" spans="1:9" ht="15" customHeight="1" x14ac:dyDescent="0.3">
      <c r="A114" s="13">
        <f>IF(113&lt;='HELOC Calculator'!$B$16,113,"")</f>
        <v>113</v>
      </c>
      <c r="B114" s="14">
        <f t="shared" si="6"/>
        <v>49614</v>
      </c>
      <c r="C114" s="13" t="str">
        <f>IF($A114="","",IF($A114&lt;='HELOC Calculator'!$B$14,"Draw","Repayment"))</f>
        <v>Draw</v>
      </c>
      <c r="D114" s="15">
        <f t="shared" si="7"/>
        <v>45000</v>
      </c>
      <c r="E114" s="15">
        <f>IF($A114="","",IF($C114="Draw",'HELOC Calculator'!$B$7,0))</f>
        <v>0</v>
      </c>
      <c r="F114" s="15">
        <f>IF($A114="","",$D114*('HELOC Calculator'!$B$8/12))</f>
        <v>318.75</v>
      </c>
      <c r="G114" s="15">
        <f>IF($A114="","",IF($C114="Draw",$F114,'HELOC Calculator'!$B$18))</f>
        <v>318.75</v>
      </c>
      <c r="H114" s="15">
        <f t="shared" si="4"/>
        <v>0</v>
      </c>
      <c r="I114" s="15">
        <f t="shared" si="5"/>
        <v>45000</v>
      </c>
    </row>
    <row r="115" spans="1:9" ht="15" customHeight="1" x14ac:dyDescent="0.3">
      <c r="A115" s="13">
        <f>IF(114&lt;='HELOC Calculator'!$B$16,114,"")</f>
        <v>114</v>
      </c>
      <c r="B115" s="14">
        <f t="shared" si="6"/>
        <v>49644</v>
      </c>
      <c r="C115" s="13" t="str">
        <f>IF($A115="","",IF($A115&lt;='HELOC Calculator'!$B$14,"Draw","Repayment"))</f>
        <v>Draw</v>
      </c>
      <c r="D115" s="15">
        <f t="shared" si="7"/>
        <v>45000</v>
      </c>
      <c r="E115" s="15">
        <f>IF($A115="","",IF($C115="Draw",'HELOC Calculator'!$B$7,0))</f>
        <v>0</v>
      </c>
      <c r="F115" s="15">
        <f>IF($A115="","",$D115*('HELOC Calculator'!$B$8/12))</f>
        <v>318.75</v>
      </c>
      <c r="G115" s="15">
        <f>IF($A115="","",IF($C115="Draw",$F115,'HELOC Calculator'!$B$18))</f>
        <v>318.75</v>
      </c>
      <c r="H115" s="15">
        <f t="shared" si="4"/>
        <v>0</v>
      </c>
      <c r="I115" s="15">
        <f t="shared" si="5"/>
        <v>45000</v>
      </c>
    </row>
    <row r="116" spans="1:9" ht="15" customHeight="1" x14ac:dyDescent="0.3">
      <c r="A116" s="13">
        <f>IF(115&lt;='HELOC Calculator'!$B$16,115,"")</f>
        <v>115</v>
      </c>
      <c r="B116" s="14">
        <f t="shared" si="6"/>
        <v>49675</v>
      </c>
      <c r="C116" s="13" t="str">
        <f>IF($A116="","",IF($A116&lt;='HELOC Calculator'!$B$14,"Draw","Repayment"))</f>
        <v>Draw</v>
      </c>
      <c r="D116" s="15">
        <f t="shared" si="7"/>
        <v>45000</v>
      </c>
      <c r="E116" s="15">
        <f>IF($A116="","",IF($C116="Draw",'HELOC Calculator'!$B$7,0))</f>
        <v>0</v>
      </c>
      <c r="F116" s="15">
        <f>IF($A116="","",$D116*('HELOC Calculator'!$B$8/12))</f>
        <v>318.75</v>
      </c>
      <c r="G116" s="15">
        <f>IF($A116="","",IF($C116="Draw",$F116,'HELOC Calculator'!$B$18))</f>
        <v>318.75</v>
      </c>
      <c r="H116" s="15">
        <f t="shared" si="4"/>
        <v>0</v>
      </c>
      <c r="I116" s="15">
        <f t="shared" si="5"/>
        <v>45000</v>
      </c>
    </row>
    <row r="117" spans="1:9" ht="15" customHeight="1" x14ac:dyDescent="0.3">
      <c r="A117" s="13">
        <f>IF(116&lt;='HELOC Calculator'!$B$16,116,"")</f>
        <v>116</v>
      </c>
      <c r="B117" s="14">
        <f t="shared" si="6"/>
        <v>49706</v>
      </c>
      <c r="C117" s="13" t="str">
        <f>IF($A117="","",IF($A117&lt;='HELOC Calculator'!$B$14,"Draw","Repayment"))</f>
        <v>Draw</v>
      </c>
      <c r="D117" s="15">
        <f t="shared" si="7"/>
        <v>45000</v>
      </c>
      <c r="E117" s="15">
        <f>IF($A117="","",IF($C117="Draw",'HELOC Calculator'!$B$7,0))</f>
        <v>0</v>
      </c>
      <c r="F117" s="15">
        <f>IF($A117="","",$D117*('HELOC Calculator'!$B$8/12))</f>
        <v>318.75</v>
      </c>
      <c r="G117" s="15">
        <f>IF($A117="","",IF($C117="Draw",$F117,'HELOC Calculator'!$B$18))</f>
        <v>318.75</v>
      </c>
      <c r="H117" s="15">
        <f t="shared" si="4"/>
        <v>0</v>
      </c>
      <c r="I117" s="15">
        <f t="shared" si="5"/>
        <v>45000</v>
      </c>
    </row>
    <row r="118" spans="1:9" ht="15" customHeight="1" x14ac:dyDescent="0.3">
      <c r="A118" s="13">
        <f>IF(117&lt;='HELOC Calculator'!$B$16,117,"")</f>
        <v>117</v>
      </c>
      <c r="B118" s="14">
        <f t="shared" si="6"/>
        <v>49735</v>
      </c>
      <c r="C118" s="13" t="str">
        <f>IF($A118="","",IF($A118&lt;='HELOC Calculator'!$B$14,"Draw","Repayment"))</f>
        <v>Draw</v>
      </c>
      <c r="D118" s="15">
        <f t="shared" si="7"/>
        <v>45000</v>
      </c>
      <c r="E118" s="15">
        <f>IF($A118="","",IF($C118="Draw",'HELOC Calculator'!$B$7,0))</f>
        <v>0</v>
      </c>
      <c r="F118" s="15">
        <f>IF($A118="","",$D118*('HELOC Calculator'!$B$8/12))</f>
        <v>318.75</v>
      </c>
      <c r="G118" s="15">
        <f>IF($A118="","",IF($C118="Draw",$F118,'HELOC Calculator'!$B$18))</f>
        <v>318.75</v>
      </c>
      <c r="H118" s="15">
        <f t="shared" si="4"/>
        <v>0</v>
      </c>
      <c r="I118" s="15">
        <f t="shared" si="5"/>
        <v>45000</v>
      </c>
    </row>
    <row r="119" spans="1:9" ht="15" customHeight="1" x14ac:dyDescent="0.3">
      <c r="A119" s="13">
        <f>IF(118&lt;='HELOC Calculator'!$B$16,118,"")</f>
        <v>118</v>
      </c>
      <c r="B119" s="14">
        <f t="shared" si="6"/>
        <v>49766</v>
      </c>
      <c r="C119" s="13" t="str">
        <f>IF($A119="","",IF($A119&lt;='HELOC Calculator'!$B$14,"Draw","Repayment"))</f>
        <v>Draw</v>
      </c>
      <c r="D119" s="15">
        <f t="shared" si="7"/>
        <v>45000</v>
      </c>
      <c r="E119" s="15">
        <f>IF($A119="","",IF($C119="Draw",'HELOC Calculator'!$B$7,0))</f>
        <v>0</v>
      </c>
      <c r="F119" s="15">
        <f>IF($A119="","",$D119*('HELOC Calculator'!$B$8/12))</f>
        <v>318.75</v>
      </c>
      <c r="G119" s="15">
        <f>IF($A119="","",IF($C119="Draw",$F119,'HELOC Calculator'!$B$18))</f>
        <v>318.75</v>
      </c>
      <c r="H119" s="15">
        <f t="shared" si="4"/>
        <v>0</v>
      </c>
      <c r="I119" s="15">
        <f t="shared" si="5"/>
        <v>45000</v>
      </c>
    </row>
    <row r="120" spans="1:9" ht="15" customHeight="1" x14ac:dyDescent="0.3">
      <c r="A120" s="13">
        <f>IF(119&lt;='HELOC Calculator'!$B$16,119,"")</f>
        <v>119</v>
      </c>
      <c r="B120" s="14">
        <f t="shared" si="6"/>
        <v>49796</v>
      </c>
      <c r="C120" s="13" t="str">
        <f>IF($A120="","",IF($A120&lt;='HELOC Calculator'!$B$14,"Draw","Repayment"))</f>
        <v>Draw</v>
      </c>
      <c r="D120" s="15">
        <f t="shared" si="7"/>
        <v>45000</v>
      </c>
      <c r="E120" s="15">
        <f>IF($A120="","",IF($C120="Draw",'HELOC Calculator'!$B$7,0))</f>
        <v>0</v>
      </c>
      <c r="F120" s="15">
        <f>IF($A120="","",$D120*('HELOC Calculator'!$B$8/12))</f>
        <v>318.75</v>
      </c>
      <c r="G120" s="15">
        <f>IF($A120="","",IF($C120="Draw",$F120,'HELOC Calculator'!$B$18))</f>
        <v>318.75</v>
      </c>
      <c r="H120" s="15">
        <f t="shared" si="4"/>
        <v>0</v>
      </c>
      <c r="I120" s="15">
        <f t="shared" si="5"/>
        <v>45000</v>
      </c>
    </row>
    <row r="121" spans="1:9" ht="15" customHeight="1" x14ac:dyDescent="0.3">
      <c r="A121" s="13">
        <f>IF(120&lt;='HELOC Calculator'!$B$16,120,"")</f>
        <v>120</v>
      </c>
      <c r="B121" s="14">
        <f t="shared" si="6"/>
        <v>49827</v>
      </c>
      <c r="C121" s="13" t="str">
        <f>IF($A121="","",IF($A121&lt;='HELOC Calculator'!$B$14,"Draw","Repayment"))</f>
        <v>Draw</v>
      </c>
      <c r="D121" s="15">
        <f t="shared" si="7"/>
        <v>45000</v>
      </c>
      <c r="E121" s="15">
        <f>IF($A121="","",IF($C121="Draw",'HELOC Calculator'!$B$7,0))</f>
        <v>0</v>
      </c>
      <c r="F121" s="15">
        <f>IF($A121="","",$D121*('HELOC Calculator'!$B$8/12))</f>
        <v>318.75</v>
      </c>
      <c r="G121" s="15">
        <f>IF($A121="","",IF($C121="Draw",$F121,'HELOC Calculator'!$B$18))</f>
        <v>318.75</v>
      </c>
      <c r="H121" s="15">
        <f t="shared" si="4"/>
        <v>0</v>
      </c>
      <c r="I121" s="15">
        <f t="shared" si="5"/>
        <v>45000</v>
      </c>
    </row>
    <row r="122" spans="1:9" ht="15" customHeight="1" x14ac:dyDescent="0.3">
      <c r="A122" s="13">
        <f>IF(121&lt;='HELOC Calculator'!$B$16,121,"")</f>
        <v>121</v>
      </c>
      <c r="B122" s="14">
        <f t="shared" si="6"/>
        <v>49857</v>
      </c>
      <c r="C122" s="13" t="str">
        <f>IF($A122="","",IF($A122&lt;='HELOC Calculator'!$B$14,"Draw","Repayment"))</f>
        <v>Repayment</v>
      </c>
      <c r="D122" s="15">
        <f t="shared" si="7"/>
        <v>45000</v>
      </c>
      <c r="E122" s="15">
        <f>IF($A122="","",IF($C122="Draw",'HELOC Calculator'!$B$7,0))</f>
        <v>0</v>
      </c>
      <c r="F122" s="15">
        <f>IF($A122="","",$D122*('HELOC Calculator'!$B$8/12))</f>
        <v>318.75</v>
      </c>
      <c r="G122" s="15">
        <f>IF($A122="","",IF($C122="Draw",$F122,'HELOC Calculator'!$B$18))</f>
        <v>362.35218755795904</v>
      </c>
      <c r="H122" s="15">
        <f t="shared" si="4"/>
        <v>43.602187557959041</v>
      </c>
      <c r="I122" s="15">
        <f t="shared" si="5"/>
        <v>44956.397812442039</v>
      </c>
    </row>
    <row r="123" spans="1:9" ht="15" customHeight="1" x14ac:dyDescent="0.3">
      <c r="A123" s="13">
        <f>IF(122&lt;='HELOC Calculator'!$B$16,122,"")</f>
        <v>122</v>
      </c>
      <c r="B123" s="14">
        <f t="shared" si="6"/>
        <v>49888</v>
      </c>
      <c r="C123" s="13" t="str">
        <f>IF($A123="","",IF($A123&lt;='HELOC Calculator'!$B$14,"Draw","Repayment"))</f>
        <v>Repayment</v>
      </c>
      <c r="D123" s="15">
        <f t="shared" si="7"/>
        <v>44956.397812442039</v>
      </c>
      <c r="E123" s="15">
        <f>IF($A123="","",IF($C123="Draw",'HELOC Calculator'!$B$7,0))</f>
        <v>0</v>
      </c>
      <c r="F123" s="15">
        <f>IF($A123="","",$D123*('HELOC Calculator'!$B$8/12))</f>
        <v>318.44115117146447</v>
      </c>
      <c r="G123" s="15">
        <f>IF($A123="","",IF($C123="Draw",$F123,'HELOC Calculator'!$B$18))</f>
        <v>362.35218755795904</v>
      </c>
      <c r="H123" s="15">
        <f t="shared" si="4"/>
        <v>43.911036386494573</v>
      </c>
      <c r="I123" s="15">
        <f t="shared" si="5"/>
        <v>44912.486776055543</v>
      </c>
    </row>
    <row r="124" spans="1:9" ht="15" customHeight="1" x14ac:dyDescent="0.3">
      <c r="A124" s="13">
        <f>IF(123&lt;='HELOC Calculator'!$B$16,123,"")</f>
        <v>123</v>
      </c>
      <c r="B124" s="14">
        <f t="shared" si="6"/>
        <v>49919</v>
      </c>
      <c r="C124" s="13" t="str">
        <f>IF($A124="","",IF($A124&lt;='HELOC Calculator'!$B$14,"Draw","Repayment"))</f>
        <v>Repayment</v>
      </c>
      <c r="D124" s="15">
        <f t="shared" si="7"/>
        <v>44912.486776055543</v>
      </c>
      <c r="E124" s="15">
        <f>IF($A124="","",IF($C124="Draw",'HELOC Calculator'!$B$7,0))</f>
        <v>0</v>
      </c>
      <c r="F124" s="15">
        <f>IF($A124="","",$D124*('HELOC Calculator'!$B$8/12))</f>
        <v>318.13011466372677</v>
      </c>
      <c r="G124" s="15">
        <f>IF($A124="","",IF($C124="Draw",$F124,'HELOC Calculator'!$B$18))</f>
        <v>362.35218755795904</v>
      </c>
      <c r="H124" s="15">
        <f t="shared" si="4"/>
        <v>44.222072894232269</v>
      </c>
      <c r="I124" s="15">
        <f t="shared" si="5"/>
        <v>44868.264703161309</v>
      </c>
    </row>
    <row r="125" spans="1:9" ht="15" customHeight="1" x14ac:dyDescent="0.3">
      <c r="A125" s="13">
        <f>IF(124&lt;='HELOC Calculator'!$B$16,124,"")</f>
        <v>124</v>
      </c>
      <c r="B125" s="14">
        <f t="shared" si="6"/>
        <v>49949</v>
      </c>
      <c r="C125" s="13" t="str">
        <f>IF($A125="","",IF($A125&lt;='HELOC Calculator'!$B$14,"Draw","Repayment"))</f>
        <v>Repayment</v>
      </c>
      <c r="D125" s="15">
        <f t="shared" si="7"/>
        <v>44868.264703161309</v>
      </c>
      <c r="E125" s="15">
        <f>IF($A125="","",IF($C125="Draw",'HELOC Calculator'!$B$7,0))</f>
        <v>0</v>
      </c>
      <c r="F125" s="15">
        <f>IF($A125="","",$D125*('HELOC Calculator'!$B$8/12))</f>
        <v>317.81687498072597</v>
      </c>
      <c r="G125" s="15">
        <f>IF($A125="","",IF($C125="Draw",$F125,'HELOC Calculator'!$B$18))</f>
        <v>362.35218755795904</v>
      </c>
      <c r="H125" s="15">
        <f t="shared" si="4"/>
        <v>44.535312577233071</v>
      </c>
      <c r="I125" s="15">
        <f t="shared" si="5"/>
        <v>44823.729390584078</v>
      </c>
    </row>
    <row r="126" spans="1:9" ht="15" customHeight="1" x14ac:dyDescent="0.3">
      <c r="A126" s="13">
        <f>IF(125&lt;='HELOC Calculator'!$B$16,125,"")</f>
        <v>125</v>
      </c>
      <c r="B126" s="14">
        <f t="shared" si="6"/>
        <v>49980</v>
      </c>
      <c r="C126" s="13" t="str">
        <f>IF($A126="","",IF($A126&lt;='HELOC Calculator'!$B$14,"Draw","Repayment"))</f>
        <v>Repayment</v>
      </c>
      <c r="D126" s="15">
        <f t="shared" si="7"/>
        <v>44823.729390584078</v>
      </c>
      <c r="E126" s="15">
        <f>IF($A126="","",IF($C126="Draw",'HELOC Calculator'!$B$7,0))</f>
        <v>0</v>
      </c>
      <c r="F126" s="15">
        <f>IF($A126="","",$D126*('HELOC Calculator'!$B$8/12))</f>
        <v>317.50141651663722</v>
      </c>
      <c r="G126" s="15">
        <f>IF($A126="","",IF($C126="Draw",$F126,'HELOC Calculator'!$B$18))</f>
        <v>362.35218755795904</v>
      </c>
      <c r="H126" s="15">
        <f t="shared" si="4"/>
        <v>44.850771041321821</v>
      </c>
      <c r="I126" s="15">
        <f t="shared" si="5"/>
        <v>44778.878619542753</v>
      </c>
    </row>
    <row r="127" spans="1:9" ht="15" customHeight="1" x14ac:dyDescent="0.3">
      <c r="A127" s="13">
        <f>IF(126&lt;='HELOC Calculator'!$B$16,126,"")</f>
        <v>126</v>
      </c>
      <c r="B127" s="14">
        <f t="shared" si="6"/>
        <v>50010</v>
      </c>
      <c r="C127" s="13" t="str">
        <f>IF($A127="","",IF($A127&lt;='HELOC Calculator'!$B$14,"Draw","Repayment"))</f>
        <v>Repayment</v>
      </c>
      <c r="D127" s="15">
        <f t="shared" si="7"/>
        <v>44778.878619542753</v>
      </c>
      <c r="E127" s="15">
        <f>IF($A127="","",IF($C127="Draw",'HELOC Calculator'!$B$7,0))</f>
        <v>0</v>
      </c>
      <c r="F127" s="15">
        <f>IF($A127="","",$D127*('HELOC Calculator'!$B$8/12))</f>
        <v>317.1837235550945</v>
      </c>
      <c r="G127" s="15">
        <f>IF($A127="","",IF($C127="Draw",$F127,'HELOC Calculator'!$B$18))</f>
        <v>362.35218755795904</v>
      </c>
      <c r="H127" s="15">
        <f t="shared" si="4"/>
        <v>45.168464002864539</v>
      </c>
      <c r="I127" s="15">
        <f t="shared" si="5"/>
        <v>44733.710155539891</v>
      </c>
    </row>
    <row r="128" spans="1:9" ht="15" customHeight="1" x14ac:dyDescent="0.3">
      <c r="A128" s="13">
        <f>IF(127&lt;='HELOC Calculator'!$B$16,127,"")</f>
        <v>127</v>
      </c>
      <c r="B128" s="14">
        <f t="shared" si="6"/>
        <v>50041</v>
      </c>
      <c r="C128" s="13" t="str">
        <f>IF($A128="","",IF($A128&lt;='HELOC Calculator'!$B$14,"Draw","Repayment"))</f>
        <v>Repayment</v>
      </c>
      <c r="D128" s="15">
        <f t="shared" si="7"/>
        <v>44733.710155539891</v>
      </c>
      <c r="E128" s="15">
        <f>IF($A128="","",IF($C128="Draw",'HELOC Calculator'!$B$7,0))</f>
        <v>0</v>
      </c>
      <c r="F128" s="15">
        <f>IF($A128="","",$D128*('HELOC Calculator'!$B$8/12))</f>
        <v>316.8637802684076</v>
      </c>
      <c r="G128" s="15">
        <f>IF($A128="","",IF($C128="Draw",$F128,'HELOC Calculator'!$B$18))</f>
        <v>362.35218755795904</v>
      </c>
      <c r="H128" s="15">
        <f t="shared" si="4"/>
        <v>45.488407289551446</v>
      </c>
      <c r="I128" s="15">
        <f t="shared" si="5"/>
        <v>44688.22174825034</v>
      </c>
    </row>
    <row r="129" spans="1:9" ht="15" customHeight="1" x14ac:dyDescent="0.3">
      <c r="A129" s="13">
        <f>IF(128&lt;='HELOC Calculator'!$B$16,128,"")</f>
        <v>128</v>
      </c>
      <c r="B129" s="14">
        <f t="shared" si="6"/>
        <v>50072</v>
      </c>
      <c r="C129" s="13" t="str">
        <f>IF($A129="","",IF($A129&lt;='HELOC Calculator'!$B$14,"Draw","Repayment"))</f>
        <v>Repayment</v>
      </c>
      <c r="D129" s="15">
        <f t="shared" si="7"/>
        <v>44688.22174825034</v>
      </c>
      <c r="E129" s="15">
        <f>IF($A129="","",IF($C129="Draw",'HELOC Calculator'!$B$7,0))</f>
        <v>0</v>
      </c>
      <c r="F129" s="15">
        <f>IF($A129="","",$D129*('HELOC Calculator'!$B$8/12))</f>
        <v>316.54157071677326</v>
      </c>
      <c r="G129" s="15">
        <f>IF($A129="","",IF($C129="Draw",$F129,'HELOC Calculator'!$B$18))</f>
        <v>362.35218755795904</v>
      </c>
      <c r="H129" s="15">
        <f t="shared" si="4"/>
        <v>45.810616841185777</v>
      </c>
      <c r="I129" s="15">
        <f t="shared" si="5"/>
        <v>44642.411131409157</v>
      </c>
    </row>
    <row r="130" spans="1:9" ht="15" customHeight="1" x14ac:dyDescent="0.3">
      <c r="A130" s="13">
        <f>IF(129&lt;='HELOC Calculator'!$B$16,129,"")</f>
        <v>129</v>
      </c>
      <c r="B130" s="14">
        <f t="shared" si="6"/>
        <v>50100</v>
      </c>
      <c r="C130" s="13" t="str">
        <f>IF($A130="","",IF($A130&lt;='HELOC Calculator'!$B$14,"Draw","Repayment"))</f>
        <v>Repayment</v>
      </c>
      <c r="D130" s="15">
        <f t="shared" si="7"/>
        <v>44642.411131409157</v>
      </c>
      <c r="E130" s="15">
        <f>IF($A130="","",IF($C130="Draw",'HELOC Calculator'!$B$7,0))</f>
        <v>0</v>
      </c>
      <c r="F130" s="15">
        <f>IF($A130="","",$D130*('HELOC Calculator'!$B$8/12))</f>
        <v>316.21707884748156</v>
      </c>
      <c r="G130" s="15">
        <f>IF($A130="","",IF($C130="Draw",$F130,'HELOC Calculator'!$B$18))</f>
        <v>362.35218755795904</v>
      </c>
      <c r="H130" s="15">
        <f t="shared" ref="H130:H193" si="8">IF($A130="","",IF($C130="Draw",0,MAX($G130-$F130,0)))</f>
        <v>46.135108710477482</v>
      </c>
      <c r="I130" s="15">
        <f t="shared" ref="I130:I193" si="9">IF($A130="","",MAX($D130+$E130-$H130,0))</f>
        <v>44596.276022698679</v>
      </c>
    </row>
    <row r="131" spans="1:9" ht="15" customHeight="1" x14ac:dyDescent="0.3">
      <c r="A131" s="13">
        <f>IF(130&lt;='HELOC Calculator'!$B$16,130,"")</f>
        <v>130</v>
      </c>
      <c r="B131" s="14">
        <f t="shared" ref="B131:B194" si="10">IF($A131="","",EDATE($B130,1))</f>
        <v>50131</v>
      </c>
      <c r="C131" s="13" t="str">
        <f>IF($A131="","",IF($A131&lt;='HELOC Calculator'!$B$14,"Draw","Repayment"))</f>
        <v>Repayment</v>
      </c>
      <c r="D131" s="15">
        <f t="shared" ref="D131:D194" si="11">IF($A131="","",$I130)</f>
        <v>44596.276022698679</v>
      </c>
      <c r="E131" s="15">
        <f>IF($A131="","",IF($C131="Draw",'HELOC Calculator'!$B$7,0))</f>
        <v>0</v>
      </c>
      <c r="F131" s="15">
        <f>IF($A131="","",$D131*('HELOC Calculator'!$B$8/12))</f>
        <v>315.89028849411568</v>
      </c>
      <c r="G131" s="15">
        <f>IF($A131="","",IF($C131="Draw",$F131,'HELOC Calculator'!$B$18))</f>
        <v>362.35218755795904</v>
      </c>
      <c r="H131" s="15">
        <f t="shared" si="8"/>
        <v>46.461899063843362</v>
      </c>
      <c r="I131" s="15">
        <f t="shared" si="9"/>
        <v>44549.814123634838</v>
      </c>
    </row>
    <row r="132" spans="1:9" ht="15" customHeight="1" x14ac:dyDescent="0.3">
      <c r="A132" s="13">
        <f>IF(131&lt;='HELOC Calculator'!$B$16,131,"")</f>
        <v>131</v>
      </c>
      <c r="B132" s="14">
        <f t="shared" si="10"/>
        <v>50161</v>
      </c>
      <c r="C132" s="13" t="str">
        <f>IF($A132="","",IF($A132&lt;='HELOC Calculator'!$B$14,"Draw","Repayment"))</f>
        <v>Repayment</v>
      </c>
      <c r="D132" s="15">
        <f t="shared" si="11"/>
        <v>44549.814123634838</v>
      </c>
      <c r="E132" s="15">
        <f>IF($A132="","",IF($C132="Draw",'HELOC Calculator'!$B$7,0))</f>
        <v>0</v>
      </c>
      <c r="F132" s="15">
        <f>IF($A132="","",$D132*('HELOC Calculator'!$B$8/12))</f>
        <v>315.56118337574679</v>
      </c>
      <c r="G132" s="15">
        <f>IF($A132="","",IF($C132="Draw",$F132,'HELOC Calculator'!$B$18))</f>
        <v>362.35218755795904</v>
      </c>
      <c r="H132" s="15">
        <f t="shared" si="8"/>
        <v>46.791004182212248</v>
      </c>
      <c r="I132" s="15">
        <f t="shared" si="9"/>
        <v>44503.023119452628</v>
      </c>
    </row>
    <row r="133" spans="1:9" ht="15" customHeight="1" x14ac:dyDescent="0.3">
      <c r="A133" s="13">
        <f>IF(132&lt;='HELOC Calculator'!$B$16,132,"")</f>
        <v>132</v>
      </c>
      <c r="B133" s="14">
        <f t="shared" si="10"/>
        <v>50192</v>
      </c>
      <c r="C133" s="13" t="str">
        <f>IF($A133="","",IF($A133&lt;='HELOC Calculator'!$B$14,"Draw","Repayment"))</f>
        <v>Repayment</v>
      </c>
      <c r="D133" s="15">
        <f t="shared" si="11"/>
        <v>44503.023119452628</v>
      </c>
      <c r="E133" s="15">
        <f>IF($A133="","",IF($C133="Draw",'HELOC Calculator'!$B$7,0))</f>
        <v>0</v>
      </c>
      <c r="F133" s="15">
        <f>IF($A133="","",$D133*('HELOC Calculator'!$B$8/12))</f>
        <v>315.22974709612282</v>
      </c>
      <c r="G133" s="15">
        <f>IF($A133="","",IF($C133="Draw",$F133,'HELOC Calculator'!$B$18))</f>
        <v>362.35218755795904</v>
      </c>
      <c r="H133" s="15">
        <f t="shared" si="8"/>
        <v>47.12244046183622</v>
      </c>
      <c r="I133" s="15">
        <f t="shared" si="9"/>
        <v>44455.900678990794</v>
      </c>
    </row>
    <row r="134" spans="1:9" ht="15" customHeight="1" x14ac:dyDescent="0.3">
      <c r="A134" s="13">
        <f>IF(133&lt;='HELOC Calculator'!$B$16,133,"")</f>
        <v>133</v>
      </c>
      <c r="B134" s="14">
        <f t="shared" si="10"/>
        <v>50222</v>
      </c>
      <c r="C134" s="13" t="str">
        <f>IF($A134="","",IF($A134&lt;='HELOC Calculator'!$B$14,"Draw","Repayment"))</f>
        <v>Repayment</v>
      </c>
      <c r="D134" s="15">
        <f t="shared" si="11"/>
        <v>44455.900678990794</v>
      </c>
      <c r="E134" s="15">
        <f>IF($A134="","",IF($C134="Draw",'HELOC Calculator'!$B$7,0))</f>
        <v>0</v>
      </c>
      <c r="F134" s="15">
        <f>IF($A134="","",$D134*('HELOC Calculator'!$B$8/12))</f>
        <v>314.89596314285149</v>
      </c>
      <c r="G134" s="15">
        <f>IF($A134="","",IF($C134="Draw",$F134,'HELOC Calculator'!$B$18))</f>
        <v>362.35218755795904</v>
      </c>
      <c r="H134" s="15">
        <f t="shared" si="8"/>
        <v>47.456224415107556</v>
      </c>
      <c r="I134" s="15">
        <f t="shared" si="9"/>
        <v>44408.444454575685</v>
      </c>
    </row>
    <row r="135" spans="1:9" ht="15" customHeight="1" x14ac:dyDescent="0.3">
      <c r="A135" s="13">
        <f>IF(134&lt;='HELOC Calculator'!$B$16,134,"")</f>
        <v>134</v>
      </c>
      <c r="B135" s="14">
        <f t="shared" si="10"/>
        <v>50253</v>
      </c>
      <c r="C135" s="13" t="str">
        <f>IF($A135="","",IF($A135&lt;='HELOC Calculator'!$B$14,"Draw","Repayment"))</f>
        <v>Repayment</v>
      </c>
      <c r="D135" s="15">
        <f t="shared" si="11"/>
        <v>44408.444454575685</v>
      </c>
      <c r="E135" s="15">
        <f>IF($A135="","",IF($C135="Draw",'HELOC Calculator'!$B$7,0))</f>
        <v>0</v>
      </c>
      <c r="F135" s="15">
        <f>IF($A135="","",$D135*('HELOC Calculator'!$B$8/12))</f>
        <v>314.55981488657778</v>
      </c>
      <c r="G135" s="15">
        <f>IF($A135="","",IF($C135="Draw",$F135,'HELOC Calculator'!$B$18))</f>
        <v>362.35218755795904</v>
      </c>
      <c r="H135" s="15">
        <f t="shared" si="8"/>
        <v>47.792372671381258</v>
      </c>
      <c r="I135" s="15">
        <f t="shared" si="9"/>
        <v>44360.652081904307</v>
      </c>
    </row>
    <row r="136" spans="1:9" ht="15" customHeight="1" x14ac:dyDescent="0.3">
      <c r="A136" s="13">
        <f>IF(135&lt;='HELOC Calculator'!$B$16,135,"")</f>
        <v>135</v>
      </c>
      <c r="B136" s="14">
        <f t="shared" si="10"/>
        <v>50284</v>
      </c>
      <c r="C136" s="13" t="str">
        <f>IF($A136="","",IF($A136&lt;='HELOC Calculator'!$B$14,"Draw","Repayment"))</f>
        <v>Repayment</v>
      </c>
      <c r="D136" s="15">
        <f t="shared" si="11"/>
        <v>44360.652081904307</v>
      </c>
      <c r="E136" s="15">
        <f>IF($A136="","",IF($C136="Draw",'HELOC Calculator'!$B$7,0))</f>
        <v>0</v>
      </c>
      <c r="F136" s="15">
        <f>IF($A136="","",$D136*('HELOC Calculator'!$B$8/12))</f>
        <v>314.22128558015555</v>
      </c>
      <c r="G136" s="15">
        <f>IF($A136="","",IF($C136="Draw",$F136,'HELOC Calculator'!$B$18))</f>
        <v>362.35218755795904</v>
      </c>
      <c r="H136" s="15">
        <f t="shared" si="8"/>
        <v>48.130901977803489</v>
      </c>
      <c r="I136" s="15">
        <f t="shared" si="9"/>
        <v>44312.521179926502</v>
      </c>
    </row>
    <row r="137" spans="1:9" ht="15" customHeight="1" x14ac:dyDescent="0.3">
      <c r="A137" s="13">
        <f>IF(136&lt;='HELOC Calculator'!$B$16,136,"")</f>
        <v>136</v>
      </c>
      <c r="B137" s="14">
        <f t="shared" si="10"/>
        <v>50314</v>
      </c>
      <c r="C137" s="13" t="str">
        <f>IF($A137="","",IF($A137&lt;='HELOC Calculator'!$B$14,"Draw","Repayment"))</f>
        <v>Repayment</v>
      </c>
      <c r="D137" s="15">
        <f t="shared" si="11"/>
        <v>44312.521179926502</v>
      </c>
      <c r="E137" s="15">
        <f>IF($A137="","",IF($C137="Draw",'HELOC Calculator'!$B$7,0))</f>
        <v>0</v>
      </c>
      <c r="F137" s="15">
        <f>IF($A137="","",$D137*('HELOC Calculator'!$B$8/12))</f>
        <v>313.88035835781272</v>
      </c>
      <c r="G137" s="15">
        <f>IF($A137="","",IF($C137="Draw",$F137,'HELOC Calculator'!$B$18))</f>
        <v>362.35218755795904</v>
      </c>
      <c r="H137" s="15">
        <f t="shared" si="8"/>
        <v>48.471829200146317</v>
      </c>
      <c r="I137" s="15">
        <f t="shared" si="9"/>
        <v>44264.049350726353</v>
      </c>
    </row>
    <row r="138" spans="1:9" ht="15" customHeight="1" x14ac:dyDescent="0.3">
      <c r="A138" s="13">
        <f>IF(137&lt;='HELOC Calculator'!$B$16,137,"")</f>
        <v>137</v>
      </c>
      <c r="B138" s="14">
        <f t="shared" si="10"/>
        <v>50345</v>
      </c>
      <c r="C138" s="13" t="str">
        <f>IF($A138="","",IF($A138&lt;='HELOC Calculator'!$B$14,"Draw","Repayment"))</f>
        <v>Repayment</v>
      </c>
      <c r="D138" s="15">
        <f t="shared" si="11"/>
        <v>44264.049350726353</v>
      </c>
      <c r="E138" s="15">
        <f>IF($A138="","",IF($C138="Draw",'HELOC Calculator'!$B$7,0))</f>
        <v>0</v>
      </c>
      <c r="F138" s="15">
        <f>IF($A138="","",$D138*('HELOC Calculator'!$B$8/12))</f>
        <v>313.53701623431169</v>
      </c>
      <c r="G138" s="15">
        <f>IF($A138="","",IF($C138="Draw",$F138,'HELOC Calculator'!$B$18))</f>
        <v>362.35218755795904</v>
      </c>
      <c r="H138" s="15">
        <f t="shared" si="8"/>
        <v>48.815171323647348</v>
      </c>
      <c r="I138" s="15">
        <f t="shared" si="9"/>
        <v>44215.234179402709</v>
      </c>
    </row>
    <row r="139" spans="1:9" ht="15" customHeight="1" x14ac:dyDescent="0.3">
      <c r="A139" s="13">
        <f>IF(138&lt;='HELOC Calculator'!$B$16,138,"")</f>
        <v>138</v>
      </c>
      <c r="B139" s="14">
        <f t="shared" si="10"/>
        <v>50375</v>
      </c>
      <c r="C139" s="13" t="str">
        <f>IF($A139="","",IF($A139&lt;='HELOC Calculator'!$B$14,"Draw","Repayment"))</f>
        <v>Repayment</v>
      </c>
      <c r="D139" s="15">
        <f t="shared" si="11"/>
        <v>44215.234179402709</v>
      </c>
      <c r="E139" s="15">
        <f>IF($A139="","",IF($C139="Draw",'HELOC Calculator'!$B$7,0))</f>
        <v>0</v>
      </c>
      <c r="F139" s="15">
        <f>IF($A139="","",$D139*('HELOC Calculator'!$B$8/12))</f>
        <v>313.19124210410257</v>
      </c>
      <c r="G139" s="15">
        <f>IF($A139="","",IF($C139="Draw",$F139,'HELOC Calculator'!$B$18))</f>
        <v>362.35218755795904</v>
      </c>
      <c r="H139" s="15">
        <f t="shared" si="8"/>
        <v>49.160945453856471</v>
      </c>
      <c r="I139" s="15">
        <f t="shared" si="9"/>
        <v>44166.073233948853</v>
      </c>
    </row>
    <row r="140" spans="1:9" ht="15" customHeight="1" x14ac:dyDescent="0.3">
      <c r="A140" s="13">
        <f>IF(139&lt;='HELOC Calculator'!$B$16,139,"")</f>
        <v>139</v>
      </c>
      <c r="B140" s="14">
        <f t="shared" si="10"/>
        <v>50406</v>
      </c>
      <c r="C140" s="13" t="str">
        <f>IF($A140="","",IF($A140&lt;='HELOC Calculator'!$B$14,"Draw","Repayment"))</f>
        <v>Repayment</v>
      </c>
      <c r="D140" s="15">
        <f t="shared" si="11"/>
        <v>44166.073233948853</v>
      </c>
      <c r="E140" s="15">
        <f>IF($A140="","",IF($C140="Draw",'HELOC Calculator'!$B$7,0))</f>
        <v>0</v>
      </c>
      <c r="F140" s="15">
        <f>IF($A140="","",$D140*('HELOC Calculator'!$B$8/12))</f>
        <v>312.84301874047105</v>
      </c>
      <c r="G140" s="15">
        <f>IF($A140="","",IF($C140="Draw",$F140,'HELOC Calculator'!$B$18))</f>
        <v>362.35218755795904</v>
      </c>
      <c r="H140" s="15">
        <f t="shared" si="8"/>
        <v>49.509168817487989</v>
      </c>
      <c r="I140" s="15">
        <f t="shared" si="9"/>
        <v>44116.564065131366</v>
      </c>
    </row>
    <row r="141" spans="1:9" ht="15" customHeight="1" x14ac:dyDescent="0.3">
      <c r="A141" s="13">
        <f>IF(140&lt;='HELOC Calculator'!$B$16,140,"")</f>
        <v>140</v>
      </c>
      <c r="B141" s="14">
        <f t="shared" si="10"/>
        <v>50437</v>
      </c>
      <c r="C141" s="13" t="str">
        <f>IF($A141="","",IF($A141&lt;='HELOC Calculator'!$B$14,"Draw","Repayment"))</f>
        <v>Repayment</v>
      </c>
      <c r="D141" s="15">
        <f t="shared" si="11"/>
        <v>44116.564065131366</v>
      </c>
      <c r="E141" s="15">
        <f>IF($A141="","",IF($C141="Draw",'HELOC Calculator'!$B$7,0))</f>
        <v>0</v>
      </c>
      <c r="F141" s="15">
        <f>IF($A141="","",$D141*('HELOC Calculator'!$B$8/12))</f>
        <v>312.49232879468053</v>
      </c>
      <c r="G141" s="15">
        <f>IF($A141="","",IF($C141="Draw",$F141,'HELOC Calculator'!$B$18))</f>
        <v>362.35218755795904</v>
      </c>
      <c r="H141" s="15">
        <f t="shared" si="8"/>
        <v>49.85985876327851</v>
      </c>
      <c r="I141" s="15">
        <f t="shared" si="9"/>
        <v>44066.704206368086</v>
      </c>
    </row>
    <row r="142" spans="1:9" ht="15" customHeight="1" x14ac:dyDescent="0.3">
      <c r="A142" s="13">
        <f>IF(141&lt;='HELOC Calculator'!$B$16,141,"")</f>
        <v>141</v>
      </c>
      <c r="B142" s="14">
        <f t="shared" si="10"/>
        <v>50465</v>
      </c>
      <c r="C142" s="13" t="str">
        <f>IF($A142="","",IF($A142&lt;='HELOC Calculator'!$B$14,"Draw","Repayment"))</f>
        <v>Repayment</v>
      </c>
      <c r="D142" s="15">
        <f t="shared" si="11"/>
        <v>44066.704206368086</v>
      </c>
      <c r="E142" s="15">
        <f>IF($A142="","",IF($C142="Draw",'HELOC Calculator'!$B$7,0))</f>
        <v>0</v>
      </c>
      <c r="F142" s="15">
        <f>IF($A142="","",$D142*('HELOC Calculator'!$B$8/12))</f>
        <v>312.13915479510729</v>
      </c>
      <c r="G142" s="15">
        <f>IF($A142="","",IF($C142="Draw",$F142,'HELOC Calculator'!$B$18))</f>
        <v>362.35218755795904</v>
      </c>
      <c r="H142" s="15">
        <f t="shared" si="8"/>
        <v>50.213032762851753</v>
      </c>
      <c r="I142" s="15">
        <f t="shared" si="9"/>
        <v>44016.491173605231</v>
      </c>
    </row>
    <row r="143" spans="1:9" ht="15" customHeight="1" x14ac:dyDescent="0.3">
      <c r="A143" s="13">
        <f>IF(142&lt;='HELOC Calculator'!$B$16,142,"")</f>
        <v>142</v>
      </c>
      <c r="B143" s="14">
        <f t="shared" si="10"/>
        <v>50496</v>
      </c>
      <c r="C143" s="13" t="str">
        <f>IF($A143="","",IF($A143&lt;='HELOC Calculator'!$B$14,"Draw","Repayment"))</f>
        <v>Repayment</v>
      </c>
      <c r="D143" s="15">
        <f t="shared" si="11"/>
        <v>44016.491173605231</v>
      </c>
      <c r="E143" s="15">
        <f>IF($A143="","",IF($C143="Draw",'HELOC Calculator'!$B$7,0))</f>
        <v>0</v>
      </c>
      <c r="F143" s="15">
        <f>IF($A143="","",$D143*('HELOC Calculator'!$B$8/12))</f>
        <v>311.78347914637038</v>
      </c>
      <c r="G143" s="15">
        <f>IF($A143="","",IF($C143="Draw",$F143,'HELOC Calculator'!$B$18))</f>
        <v>362.35218755795904</v>
      </c>
      <c r="H143" s="15">
        <f t="shared" si="8"/>
        <v>50.568708411588659</v>
      </c>
      <c r="I143" s="15">
        <f t="shared" si="9"/>
        <v>43965.922465193646</v>
      </c>
    </row>
    <row r="144" spans="1:9" ht="15" customHeight="1" x14ac:dyDescent="0.3">
      <c r="A144" s="13">
        <f>IF(143&lt;='HELOC Calculator'!$B$16,143,"")</f>
        <v>143</v>
      </c>
      <c r="B144" s="14">
        <f t="shared" si="10"/>
        <v>50526</v>
      </c>
      <c r="C144" s="13" t="str">
        <f>IF($A144="","",IF($A144&lt;='HELOC Calculator'!$B$14,"Draw","Repayment"))</f>
        <v>Repayment</v>
      </c>
      <c r="D144" s="15">
        <f t="shared" si="11"/>
        <v>43965.922465193646</v>
      </c>
      <c r="E144" s="15">
        <f>IF($A144="","",IF($C144="Draw",'HELOC Calculator'!$B$7,0))</f>
        <v>0</v>
      </c>
      <c r="F144" s="15">
        <f>IF($A144="","",$D144*('HELOC Calculator'!$B$8/12))</f>
        <v>311.42528412845502</v>
      </c>
      <c r="G144" s="15">
        <f>IF($A144="","",IF($C144="Draw",$F144,'HELOC Calculator'!$B$18))</f>
        <v>362.35218755795904</v>
      </c>
      <c r="H144" s="15">
        <f t="shared" si="8"/>
        <v>50.926903429504023</v>
      </c>
      <c r="I144" s="15">
        <f t="shared" si="9"/>
        <v>43914.995561764139</v>
      </c>
    </row>
    <row r="145" spans="1:9" ht="15" customHeight="1" x14ac:dyDescent="0.3">
      <c r="A145" s="13">
        <f>IF(144&lt;='HELOC Calculator'!$B$16,144,"")</f>
        <v>144</v>
      </c>
      <c r="B145" s="14">
        <f t="shared" si="10"/>
        <v>50557</v>
      </c>
      <c r="C145" s="13" t="str">
        <f>IF($A145="","",IF($A145&lt;='HELOC Calculator'!$B$14,"Draw","Repayment"))</f>
        <v>Repayment</v>
      </c>
      <c r="D145" s="15">
        <f t="shared" si="11"/>
        <v>43914.995561764139</v>
      </c>
      <c r="E145" s="15">
        <f>IF($A145="","",IF($C145="Draw",'HELOC Calculator'!$B$7,0))</f>
        <v>0</v>
      </c>
      <c r="F145" s="15">
        <f>IF($A145="","",$D145*('HELOC Calculator'!$B$8/12))</f>
        <v>311.06455189582937</v>
      </c>
      <c r="G145" s="15">
        <f>IF($A145="","",IF($C145="Draw",$F145,'HELOC Calculator'!$B$18))</f>
        <v>362.35218755795904</v>
      </c>
      <c r="H145" s="15">
        <f t="shared" si="8"/>
        <v>51.287635662129674</v>
      </c>
      <c r="I145" s="15">
        <f t="shared" si="9"/>
        <v>43863.707926102012</v>
      </c>
    </row>
    <row r="146" spans="1:9" ht="15" customHeight="1" x14ac:dyDescent="0.3">
      <c r="A146" s="13">
        <f>IF(145&lt;='HELOC Calculator'!$B$16,145,"")</f>
        <v>145</v>
      </c>
      <c r="B146" s="14">
        <f t="shared" si="10"/>
        <v>50587</v>
      </c>
      <c r="C146" s="13" t="str">
        <f>IF($A146="","",IF($A146&lt;='HELOC Calculator'!$B$14,"Draw","Repayment"))</f>
        <v>Repayment</v>
      </c>
      <c r="D146" s="15">
        <f t="shared" si="11"/>
        <v>43863.707926102012</v>
      </c>
      <c r="E146" s="15">
        <f>IF($A146="","",IF($C146="Draw",'HELOC Calculator'!$B$7,0))</f>
        <v>0</v>
      </c>
      <c r="F146" s="15">
        <f>IF($A146="","",$D146*('HELOC Calculator'!$B$8/12))</f>
        <v>310.70126447655593</v>
      </c>
      <c r="G146" s="15">
        <f>IF($A146="","",IF($C146="Draw",$F146,'HELOC Calculator'!$B$18))</f>
        <v>362.35218755795904</v>
      </c>
      <c r="H146" s="15">
        <f t="shared" si="8"/>
        <v>51.650923081403107</v>
      </c>
      <c r="I146" s="15">
        <f t="shared" si="9"/>
        <v>43812.057003020607</v>
      </c>
    </row>
    <row r="147" spans="1:9" ht="15" customHeight="1" x14ac:dyDescent="0.3">
      <c r="A147" s="13">
        <f>IF(146&lt;='HELOC Calculator'!$B$16,146,"")</f>
        <v>146</v>
      </c>
      <c r="B147" s="14">
        <f t="shared" si="10"/>
        <v>50618</v>
      </c>
      <c r="C147" s="13" t="str">
        <f>IF($A147="","",IF($A147&lt;='HELOC Calculator'!$B$14,"Draw","Repayment"))</f>
        <v>Repayment</v>
      </c>
      <c r="D147" s="15">
        <f t="shared" si="11"/>
        <v>43812.057003020607</v>
      </c>
      <c r="E147" s="15">
        <f>IF($A147="","",IF($C147="Draw",'HELOC Calculator'!$B$7,0))</f>
        <v>0</v>
      </c>
      <c r="F147" s="15">
        <f>IF($A147="","",$D147*('HELOC Calculator'!$B$8/12))</f>
        <v>310.33540377139599</v>
      </c>
      <c r="G147" s="15">
        <f>IF($A147="","",IF($C147="Draw",$F147,'HELOC Calculator'!$B$18))</f>
        <v>362.35218755795904</v>
      </c>
      <c r="H147" s="15">
        <f t="shared" si="8"/>
        <v>52.016783786563053</v>
      </c>
      <c r="I147" s="15">
        <f t="shared" si="9"/>
        <v>43760.040219234041</v>
      </c>
    </row>
    <row r="148" spans="1:9" ht="15" customHeight="1" x14ac:dyDescent="0.3">
      <c r="A148" s="13">
        <f>IF(147&lt;='HELOC Calculator'!$B$16,147,"")</f>
        <v>147</v>
      </c>
      <c r="B148" s="14">
        <f t="shared" si="10"/>
        <v>50649</v>
      </c>
      <c r="C148" s="13" t="str">
        <f>IF($A148="","",IF($A148&lt;='HELOC Calculator'!$B$14,"Draw","Repayment"))</f>
        <v>Repayment</v>
      </c>
      <c r="D148" s="15">
        <f t="shared" si="11"/>
        <v>43760.040219234041</v>
      </c>
      <c r="E148" s="15">
        <f>IF($A148="","",IF($C148="Draw",'HELOC Calculator'!$B$7,0))</f>
        <v>0</v>
      </c>
      <c r="F148" s="15">
        <f>IF($A148="","",$D148*('HELOC Calculator'!$B$8/12))</f>
        <v>309.9669515529078</v>
      </c>
      <c r="G148" s="15">
        <f>IF($A148="","",IF($C148="Draw",$F148,'HELOC Calculator'!$B$18))</f>
        <v>362.35218755795904</v>
      </c>
      <c r="H148" s="15">
        <f t="shared" si="8"/>
        <v>52.38523600505124</v>
      </c>
      <c r="I148" s="15">
        <f t="shared" si="9"/>
        <v>43707.654983228989</v>
      </c>
    </row>
    <row r="149" spans="1:9" ht="15" customHeight="1" x14ac:dyDescent="0.3">
      <c r="A149" s="13">
        <f>IF(148&lt;='HELOC Calculator'!$B$16,148,"")</f>
        <v>148</v>
      </c>
      <c r="B149" s="14">
        <f t="shared" si="10"/>
        <v>50679</v>
      </c>
      <c r="C149" s="13" t="str">
        <f>IF($A149="","",IF($A149&lt;='HELOC Calculator'!$B$14,"Draw","Repayment"))</f>
        <v>Repayment</v>
      </c>
      <c r="D149" s="15">
        <f t="shared" si="11"/>
        <v>43707.654983228989</v>
      </c>
      <c r="E149" s="15">
        <f>IF($A149="","",IF($C149="Draw",'HELOC Calculator'!$B$7,0))</f>
        <v>0</v>
      </c>
      <c r="F149" s="15">
        <f>IF($A149="","",$D149*('HELOC Calculator'!$B$8/12))</f>
        <v>309.59588946453869</v>
      </c>
      <c r="G149" s="15">
        <f>IF($A149="","",IF($C149="Draw",$F149,'HELOC Calculator'!$B$18))</f>
        <v>362.35218755795904</v>
      </c>
      <c r="H149" s="15">
        <f t="shared" si="8"/>
        <v>52.756298093420355</v>
      </c>
      <c r="I149" s="15">
        <f t="shared" si="9"/>
        <v>43654.898685135566</v>
      </c>
    </row>
    <row r="150" spans="1:9" ht="15" customHeight="1" x14ac:dyDescent="0.3">
      <c r="A150" s="13">
        <f>IF(149&lt;='HELOC Calculator'!$B$16,149,"")</f>
        <v>149</v>
      </c>
      <c r="B150" s="14">
        <f t="shared" si="10"/>
        <v>50710</v>
      </c>
      <c r="C150" s="13" t="str">
        <f>IF($A150="","",IF($A150&lt;='HELOC Calculator'!$B$14,"Draw","Repayment"))</f>
        <v>Repayment</v>
      </c>
      <c r="D150" s="15">
        <f t="shared" si="11"/>
        <v>43654.898685135566</v>
      </c>
      <c r="E150" s="15">
        <f>IF($A150="","",IF($C150="Draw",'HELOC Calculator'!$B$7,0))</f>
        <v>0</v>
      </c>
      <c r="F150" s="15">
        <f>IF($A150="","",$D150*('HELOC Calculator'!$B$8/12))</f>
        <v>309.22219901971027</v>
      </c>
      <c r="G150" s="15">
        <f>IF($A150="","",IF($C150="Draw",$F150,'HELOC Calculator'!$B$18))</f>
        <v>362.35218755795904</v>
      </c>
      <c r="H150" s="15">
        <f t="shared" si="8"/>
        <v>53.129988538248767</v>
      </c>
      <c r="I150" s="15">
        <f t="shared" si="9"/>
        <v>43601.768696597319</v>
      </c>
    </row>
    <row r="151" spans="1:9" ht="15" customHeight="1" x14ac:dyDescent="0.3">
      <c r="A151" s="13">
        <f>IF(150&lt;='HELOC Calculator'!$B$16,150,"")</f>
        <v>150</v>
      </c>
      <c r="B151" s="14">
        <f t="shared" si="10"/>
        <v>50740</v>
      </c>
      <c r="C151" s="13" t="str">
        <f>IF($A151="","",IF($A151&lt;='HELOC Calculator'!$B$14,"Draw","Repayment"))</f>
        <v>Repayment</v>
      </c>
      <c r="D151" s="15">
        <f t="shared" si="11"/>
        <v>43601.768696597319</v>
      </c>
      <c r="E151" s="15">
        <f>IF($A151="","",IF($C151="Draw",'HELOC Calculator'!$B$7,0))</f>
        <v>0</v>
      </c>
      <c r="F151" s="15">
        <f>IF($A151="","",$D151*('HELOC Calculator'!$B$8/12))</f>
        <v>308.84586160089771</v>
      </c>
      <c r="G151" s="15">
        <f>IF($A151="","",IF($C151="Draw",$F151,'HELOC Calculator'!$B$18))</f>
        <v>362.35218755795904</v>
      </c>
      <c r="H151" s="15">
        <f t="shared" si="8"/>
        <v>53.506325957061335</v>
      </c>
      <c r="I151" s="15">
        <f t="shared" si="9"/>
        <v>43548.262370640259</v>
      </c>
    </row>
    <row r="152" spans="1:9" ht="15" customHeight="1" x14ac:dyDescent="0.3">
      <c r="A152" s="13">
        <f>IF(151&lt;='HELOC Calculator'!$B$16,151,"")</f>
        <v>151</v>
      </c>
      <c r="B152" s="14">
        <f t="shared" si="10"/>
        <v>50771</v>
      </c>
      <c r="C152" s="13" t="str">
        <f>IF($A152="","",IF($A152&lt;='HELOC Calculator'!$B$14,"Draw","Repayment"))</f>
        <v>Repayment</v>
      </c>
      <c r="D152" s="15">
        <f t="shared" si="11"/>
        <v>43548.262370640259</v>
      </c>
      <c r="E152" s="15">
        <f>IF($A152="","",IF($C152="Draw",'HELOC Calculator'!$B$7,0))</f>
        <v>0</v>
      </c>
      <c r="F152" s="15">
        <f>IF($A152="","",$D152*('HELOC Calculator'!$B$8/12))</f>
        <v>308.46685845870184</v>
      </c>
      <c r="G152" s="15">
        <f>IF($A152="","",IF($C152="Draw",$F152,'HELOC Calculator'!$B$18))</f>
        <v>362.35218755795904</v>
      </c>
      <c r="H152" s="15">
        <f t="shared" si="8"/>
        <v>53.885329099257206</v>
      </c>
      <c r="I152" s="15">
        <f t="shared" si="9"/>
        <v>43494.377041541004</v>
      </c>
    </row>
    <row r="153" spans="1:9" ht="15" customHeight="1" x14ac:dyDescent="0.3">
      <c r="A153" s="13">
        <f>IF(152&lt;='HELOC Calculator'!$B$16,152,"")</f>
        <v>152</v>
      </c>
      <c r="B153" s="14">
        <f t="shared" si="10"/>
        <v>50802</v>
      </c>
      <c r="C153" s="13" t="str">
        <f>IF($A153="","",IF($A153&lt;='HELOC Calculator'!$B$14,"Draw","Repayment"))</f>
        <v>Repayment</v>
      </c>
      <c r="D153" s="15">
        <f t="shared" si="11"/>
        <v>43494.377041541004</v>
      </c>
      <c r="E153" s="15">
        <f>IF($A153="","",IF($C153="Draw",'HELOC Calculator'!$B$7,0))</f>
        <v>0</v>
      </c>
      <c r="F153" s="15">
        <f>IF($A153="","",$D153*('HELOC Calculator'!$B$8/12))</f>
        <v>308.08517071091546</v>
      </c>
      <c r="G153" s="15">
        <f>IF($A153="","",IF($C153="Draw",$F153,'HELOC Calculator'!$B$18))</f>
        <v>362.35218755795904</v>
      </c>
      <c r="H153" s="15">
        <f t="shared" si="8"/>
        <v>54.267016847043578</v>
      </c>
      <c r="I153" s="15">
        <f t="shared" si="9"/>
        <v>43440.11002469396</v>
      </c>
    </row>
    <row r="154" spans="1:9" ht="15" customHeight="1" x14ac:dyDescent="0.3">
      <c r="A154" s="13">
        <f>IF(153&lt;='HELOC Calculator'!$B$16,153,"")</f>
        <v>153</v>
      </c>
      <c r="B154" s="14">
        <f t="shared" si="10"/>
        <v>50830</v>
      </c>
      <c r="C154" s="13" t="str">
        <f>IF($A154="","",IF($A154&lt;='HELOC Calculator'!$B$14,"Draw","Repayment"))</f>
        <v>Repayment</v>
      </c>
      <c r="D154" s="15">
        <f t="shared" si="11"/>
        <v>43440.11002469396</v>
      </c>
      <c r="E154" s="15">
        <f>IF($A154="","",IF($C154="Draw",'HELOC Calculator'!$B$7,0))</f>
        <v>0</v>
      </c>
      <c r="F154" s="15">
        <f>IF($A154="","",$D154*('HELOC Calculator'!$B$8/12))</f>
        <v>307.70077934158223</v>
      </c>
      <c r="G154" s="15">
        <f>IF($A154="","",IF($C154="Draw",$F154,'HELOC Calculator'!$B$18))</f>
        <v>362.35218755795904</v>
      </c>
      <c r="H154" s="15">
        <f t="shared" si="8"/>
        <v>54.651408216376808</v>
      </c>
      <c r="I154" s="15">
        <f t="shared" si="9"/>
        <v>43385.458616477583</v>
      </c>
    </row>
    <row r="155" spans="1:9" ht="15" customHeight="1" x14ac:dyDescent="0.3">
      <c r="A155" s="13">
        <f>IF(154&lt;='HELOC Calculator'!$B$16,154,"")</f>
        <v>154</v>
      </c>
      <c r="B155" s="14">
        <f t="shared" si="10"/>
        <v>50861</v>
      </c>
      <c r="C155" s="13" t="str">
        <f>IF($A155="","",IF($A155&lt;='HELOC Calculator'!$B$14,"Draw","Repayment"))</f>
        <v>Repayment</v>
      </c>
      <c r="D155" s="15">
        <f t="shared" si="11"/>
        <v>43385.458616477583</v>
      </c>
      <c r="E155" s="15">
        <f>IF($A155="","",IF($C155="Draw",'HELOC Calculator'!$B$7,0))</f>
        <v>0</v>
      </c>
      <c r="F155" s="15">
        <f>IF($A155="","",$D155*('HELOC Calculator'!$B$8/12))</f>
        <v>307.31366520004957</v>
      </c>
      <c r="G155" s="15">
        <f>IF($A155="","",IF($C155="Draw",$F155,'HELOC Calculator'!$B$18))</f>
        <v>362.35218755795904</v>
      </c>
      <c r="H155" s="15">
        <f t="shared" si="8"/>
        <v>55.038522357909471</v>
      </c>
      <c r="I155" s="15">
        <f t="shared" si="9"/>
        <v>43330.420094119676</v>
      </c>
    </row>
    <row r="156" spans="1:9" ht="15" customHeight="1" x14ac:dyDescent="0.3">
      <c r="A156" s="13">
        <f>IF(155&lt;='HELOC Calculator'!$B$16,155,"")</f>
        <v>155</v>
      </c>
      <c r="B156" s="14">
        <f t="shared" si="10"/>
        <v>50891</v>
      </c>
      <c r="C156" s="13" t="str">
        <f>IF($A156="","",IF($A156&lt;='HELOC Calculator'!$B$14,"Draw","Repayment"))</f>
        <v>Repayment</v>
      </c>
      <c r="D156" s="15">
        <f t="shared" si="11"/>
        <v>43330.420094119676</v>
      </c>
      <c r="E156" s="15">
        <f>IF($A156="","",IF($C156="Draw",'HELOC Calculator'!$B$7,0))</f>
        <v>0</v>
      </c>
      <c r="F156" s="15">
        <f>IF($A156="","",$D156*('HELOC Calculator'!$B$8/12))</f>
        <v>306.92380900001439</v>
      </c>
      <c r="G156" s="15">
        <f>IF($A156="","",IF($C156="Draw",$F156,'HELOC Calculator'!$B$18))</f>
        <v>362.35218755795904</v>
      </c>
      <c r="H156" s="15">
        <f t="shared" si="8"/>
        <v>55.428378557944654</v>
      </c>
      <c r="I156" s="15">
        <f t="shared" si="9"/>
        <v>43274.99171556173</v>
      </c>
    </row>
    <row r="157" spans="1:9" ht="15" customHeight="1" x14ac:dyDescent="0.3">
      <c r="A157" s="13">
        <f>IF(156&lt;='HELOC Calculator'!$B$16,156,"")</f>
        <v>156</v>
      </c>
      <c r="B157" s="14">
        <f t="shared" si="10"/>
        <v>50922</v>
      </c>
      <c r="C157" s="13" t="str">
        <f>IF($A157="","",IF($A157&lt;='HELOC Calculator'!$B$14,"Draw","Repayment"))</f>
        <v>Repayment</v>
      </c>
      <c r="D157" s="15">
        <f t="shared" si="11"/>
        <v>43274.99171556173</v>
      </c>
      <c r="E157" s="15">
        <f>IF($A157="","",IF($C157="Draw",'HELOC Calculator'!$B$7,0))</f>
        <v>0</v>
      </c>
      <c r="F157" s="15">
        <f>IF($A157="","",$D157*('HELOC Calculator'!$B$8/12))</f>
        <v>306.53119131856226</v>
      </c>
      <c r="G157" s="15">
        <f>IF($A157="","",IF($C157="Draw",$F157,'HELOC Calculator'!$B$18))</f>
        <v>362.35218755795904</v>
      </c>
      <c r="H157" s="15">
        <f t="shared" si="8"/>
        <v>55.820996239396777</v>
      </c>
      <c r="I157" s="15">
        <f t="shared" si="9"/>
        <v>43219.170719322334</v>
      </c>
    </row>
    <row r="158" spans="1:9" ht="15" customHeight="1" x14ac:dyDescent="0.3">
      <c r="A158" s="13">
        <f>IF(157&lt;='HELOC Calculator'!$B$16,157,"")</f>
        <v>157</v>
      </c>
      <c r="B158" s="14">
        <f t="shared" si="10"/>
        <v>50952</v>
      </c>
      <c r="C158" s="13" t="str">
        <f>IF($A158="","",IF($A158&lt;='HELOC Calculator'!$B$14,"Draw","Repayment"))</f>
        <v>Repayment</v>
      </c>
      <c r="D158" s="15">
        <f t="shared" si="11"/>
        <v>43219.170719322334</v>
      </c>
      <c r="E158" s="15">
        <f>IF($A158="","",IF($C158="Draw",'HELOC Calculator'!$B$7,0))</f>
        <v>0</v>
      </c>
      <c r="F158" s="15">
        <f>IF($A158="","",$D158*('HELOC Calculator'!$B$8/12))</f>
        <v>306.13579259519986</v>
      </c>
      <c r="G158" s="15">
        <f>IF($A158="","",IF($C158="Draw",$F158,'HELOC Calculator'!$B$18))</f>
        <v>362.35218755795904</v>
      </c>
      <c r="H158" s="15">
        <f t="shared" si="8"/>
        <v>56.216394962759182</v>
      </c>
      <c r="I158" s="15">
        <f t="shared" si="9"/>
        <v>43162.954324359576</v>
      </c>
    </row>
    <row r="159" spans="1:9" ht="15" customHeight="1" x14ac:dyDescent="0.3">
      <c r="A159" s="13">
        <f>IF(158&lt;='HELOC Calculator'!$B$16,158,"")</f>
        <v>158</v>
      </c>
      <c r="B159" s="14">
        <f t="shared" si="10"/>
        <v>50983</v>
      </c>
      <c r="C159" s="13" t="str">
        <f>IF($A159="","",IF($A159&lt;='HELOC Calculator'!$B$14,"Draw","Repayment"))</f>
        <v>Repayment</v>
      </c>
      <c r="D159" s="15">
        <f t="shared" si="11"/>
        <v>43162.954324359576</v>
      </c>
      <c r="E159" s="15">
        <f>IF($A159="","",IF($C159="Draw",'HELOC Calculator'!$B$7,0))</f>
        <v>0</v>
      </c>
      <c r="F159" s="15">
        <f>IF($A159="","",$D159*('HELOC Calculator'!$B$8/12))</f>
        <v>305.73759313088033</v>
      </c>
      <c r="G159" s="15">
        <f>IF($A159="","",IF($C159="Draw",$F159,'HELOC Calculator'!$B$18))</f>
        <v>362.35218755795904</v>
      </c>
      <c r="H159" s="15">
        <f t="shared" si="8"/>
        <v>56.614594427078714</v>
      </c>
      <c r="I159" s="15">
        <f t="shared" si="9"/>
        <v>43106.339729932501</v>
      </c>
    </row>
    <row r="160" spans="1:9" ht="15" customHeight="1" x14ac:dyDescent="0.3">
      <c r="A160" s="13">
        <f>IF(159&lt;='HELOC Calculator'!$B$16,159,"")</f>
        <v>159</v>
      </c>
      <c r="B160" s="14">
        <f t="shared" si="10"/>
        <v>51014</v>
      </c>
      <c r="C160" s="13" t="str">
        <f>IF($A160="","",IF($A160&lt;='HELOC Calculator'!$B$14,"Draw","Repayment"))</f>
        <v>Repayment</v>
      </c>
      <c r="D160" s="15">
        <f t="shared" si="11"/>
        <v>43106.339729932501</v>
      </c>
      <c r="E160" s="15">
        <f>IF($A160="","",IF($C160="Draw",'HELOC Calculator'!$B$7,0))</f>
        <v>0</v>
      </c>
      <c r="F160" s="15">
        <f>IF($A160="","",$D160*('HELOC Calculator'!$B$8/12))</f>
        <v>305.33657308702192</v>
      </c>
      <c r="G160" s="15">
        <f>IF($A160="","",IF($C160="Draw",$F160,'HELOC Calculator'!$B$18))</f>
        <v>362.35218755795904</v>
      </c>
      <c r="H160" s="15">
        <f t="shared" si="8"/>
        <v>57.015614470937123</v>
      </c>
      <c r="I160" s="15">
        <f t="shared" si="9"/>
        <v>43049.324115461561</v>
      </c>
    </row>
    <row r="161" spans="1:9" ht="15" customHeight="1" x14ac:dyDescent="0.3">
      <c r="A161" s="13">
        <f>IF(160&lt;='HELOC Calculator'!$B$16,160,"")</f>
        <v>160</v>
      </c>
      <c r="B161" s="14">
        <f t="shared" si="10"/>
        <v>51044</v>
      </c>
      <c r="C161" s="13" t="str">
        <f>IF($A161="","",IF($A161&lt;='HELOC Calculator'!$B$14,"Draw","Repayment"))</f>
        <v>Repayment</v>
      </c>
      <c r="D161" s="15">
        <f t="shared" si="11"/>
        <v>43049.324115461561</v>
      </c>
      <c r="E161" s="15">
        <f>IF($A161="","",IF($C161="Draw",'HELOC Calculator'!$B$7,0))</f>
        <v>0</v>
      </c>
      <c r="F161" s="15">
        <f>IF($A161="","",$D161*('HELOC Calculator'!$B$8/12))</f>
        <v>304.93271248451941</v>
      </c>
      <c r="G161" s="15">
        <f>IF($A161="","",IF($C161="Draw",$F161,'HELOC Calculator'!$B$18))</f>
        <v>362.35218755795904</v>
      </c>
      <c r="H161" s="15">
        <f t="shared" si="8"/>
        <v>57.419475073439628</v>
      </c>
      <c r="I161" s="15">
        <f t="shared" si="9"/>
        <v>42991.904640388122</v>
      </c>
    </row>
    <row r="162" spans="1:9" ht="15" customHeight="1" x14ac:dyDescent="0.3">
      <c r="A162" s="13">
        <f>IF(161&lt;='HELOC Calculator'!$B$16,161,"")</f>
        <v>161</v>
      </c>
      <c r="B162" s="14">
        <f t="shared" si="10"/>
        <v>51075</v>
      </c>
      <c r="C162" s="13" t="str">
        <f>IF($A162="","",IF($A162&lt;='HELOC Calculator'!$B$14,"Draw","Repayment"))</f>
        <v>Repayment</v>
      </c>
      <c r="D162" s="15">
        <f t="shared" si="11"/>
        <v>42991.904640388122</v>
      </c>
      <c r="E162" s="15">
        <f>IF($A162="","",IF($C162="Draw",'HELOC Calculator'!$B$7,0))</f>
        <v>0</v>
      </c>
      <c r="F162" s="15">
        <f>IF($A162="","",$D162*('HELOC Calculator'!$B$8/12))</f>
        <v>304.5259912027492</v>
      </c>
      <c r="G162" s="15">
        <f>IF($A162="","",IF($C162="Draw",$F162,'HELOC Calculator'!$B$18))</f>
        <v>362.35218755795904</v>
      </c>
      <c r="H162" s="15">
        <f t="shared" si="8"/>
        <v>57.826196355209845</v>
      </c>
      <c r="I162" s="15">
        <f t="shared" si="9"/>
        <v>42934.078444032915</v>
      </c>
    </row>
    <row r="163" spans="1:9" ht="15" customHeight="1" x14ac:dyDescent="0.3">
      <c r="A163" s="13">
        <f>IF(162&lt;='HELOC Calculator'!$B$16,162,"")</f>
        <v>162</v>
      </c>
      <c r="B163" s="14">
        <f t="shared" si="10"/>
        <v>51105</v>
      </c>
      <c r="C163" s="13" t="str">
        <f>IF($A163="","",IF($A163&lt;='HELOC Calculator'!$B$14,"Draw","Repayment"))</f>
        <v>Repayment</v>
      </c>
      <c r="D163" s="15">
        <f t="shared" si="11"/>
        <v>42934.078444032915</v>
      </c>
      <c r="E163" s="15">
        <f>IF($A163="","",IF($C163="Draw",'HELOC Calculator'!$B$7,0))</f>
        <v>0</v>
      </c>
      <c r="F163" s="15">
        <f>IF($A163="","",$D163*('HELOC Calculator'!$B$8/12))</f>
        <v>304.11638897856653</v>
      </c>
      <c r="G163" s="15">
        <f>IF($A163="","",IF($C163="Draw",$F163,'HELOC Calculator'!$B$18))</f>
        <v>362.35218755795904</v>
      </c>
      <c r="H163" s="15">
        <f t="shared" si="8"/>
        <v>58.235798579392508</v>
      </c>
      <c r="I163" s="15">
        <f t="shared" si="9"/>
        <v>42875.842645453522</v>
      </c>
    </row>
    <row r="164" spans="1:9" ht="15" customHeight="1" x14ac:dyDescent="0.3">
      <c r="A164" s="13">
        <f>IF(163&lt;='HELOC Calculator'!$B$16,163,"")</f>
        <v>163</v>
      </c>
      <c r="B164" s="14">
        <f t="shared" si="10"/>
        <v>51136</v>
      </c>
      <c r="C164" s="13" t="str">
        <f>IF($A164="","",IF($A164&lt;='HELOC Calculator'!$B$14,"Draw","Repayment"))</f>
        <v>Repayment</v>
      </c>
      <c r="D164" s="15">
        <f t="shared" si="11"/>
        <v>42875.842645453522</v>
      </c>
      <c r="E164" s="15">
        <f>IF($A164="","",IF($C164="Draw",'HELOC Calculator'!$B$7,0))</f>
        <v>0</v>
      </c>
      <c r="F164" s="15">
        <f>IF($A164="","",$D164*('HELOC Calculator'!$B$8/12))</f>
        <v>303.70388540529581</v>
      </c>
      <c r="G164" s="15">
        <f>IF($A164="","",IF($C164="Draw",$F164,'HELOC Calculator'!$B$18))</f>
        <v>362.35218755795904</v>
      </c>
      <c r="H164" s="15">
        <f t="shared" si="8"/>
        <v>58.648302152663234</v>
      </c>
      <c r="I164" s="15">
        <f t="shared" si="9"/>
        <v>42817.194343300856</v>
      </c>
    </row>
    <row r="165" spans="1:9" ht="15" customHeight="1" x14ac:dyDescent="0.3">
      <c r="A165" s="13">
        <f>IF(164&lt;='HELOC Calculator'!$B$16,164,"")</f>
        <v>164</v>
      </c>
      <c r="B165" s="14">
        <f t="shared" si="10"/>
        <v>51167</v>
      </c>
      <c r="C165" s="13" t="str">
        <f>IF($A165="","",IF($A165&lt;='HELOC Calculator'!$B$14,"Draw","Repayment"))</f>
        <v>Repayment</v>
      </c>
      <c r="D165" s="15">
        <f t="shared" si="11"/>
        <v>42817.194343300856</v>
      </c>
      <c r="E165" s="15">
        <f>IF($A165="","",IF($C165="Draw",'HELOC Calculator'!$B$7,0))</f>
        <v>0</v>
      </c>
      <c r="F165" s="15">
        <f>IF($A165="","",$D165*('HELOC Calculator'!$B$8/12))</f>
        <v>303.28845993171444</v>
      </c>
      <c r="G165" s="15">
        <f>IF($A165="","",IF($C165="Draw",$F165,'HELOC Calculator'!$B$18))</f>
        <v>362.35218755795904</v>
      </c>
      <c r="H165" s="15">
        <f t="shared" si="8"/>
        <v>59.063727626244599</v>
      </c>
      <c r="I165" s="15">
        <f t="shared" si="9"/>
        <v>42758.130615674614</v>
      </c>
    </row>
    <row r="166" spans="1:9" ht="15" customHeight="1" x14ac:dyDescent="0.3">
      <c r="A166" s="13">
        <f>IF(165&lt;='HELOC Calculator'!$B$16,165,"")</f>
        <v>165</v>
      </c>
      <c r="B166" s="14">
        <f t="shared" si="10"/>
        <v>51196</v>
      </c>
      <c r="C166" s="13" t="str">
        <f>IF($A166="","",IF($A166&lt;='HELOC Calculator'!$B$14,"Draw","Repayment"))</f>
        <v>Repayment</v>
      </c>
      <c r="D166" s="15">
        <f t="shared" si="11"/>
        <v>42758.130615674614</v>
      </c>
      <c r="E166" s="15">
        <f>IF($A166="","",IF($C166="Draw",'HELOC Calculator'!$B$7,0))</f>
        <v>0</v>
      </c>
      <c r="F166" s="15">
        <f>IF($A166="","",$D166*('HELOC Calculator'!$B$8/12))</f>
        <v>302.87009186102853</v>
      </c>
      <c r="G166" s="15">
        <f>IF($A166="","",IF($C166="Draw",$F166,'HELOC Calculator'!$B$18))</f>
        <v>362.35218755795904</v>
      </c>
      <c r="H166" s="15">
        <f t="shared" si="8"/>
        <v>59.482095696930514</v>
      </c>
      <c r="I166" s="15">
        <f t="shared" si="9"/>
        <v>42698.648519977687</v>
      </c>
    </row>
    <row r="167" spans="1:9" ht="15" customHeight="1" x14ac:dyDescent="0.3">
      <c r="A167" s="13">
        <f>IF(166&lt;='HELOC Calculator'!$B$16,166,"")</f>
        <v>166</v>
      </c>
      <c r="B167" s="14">
        <f t="shared" si="10"/>
        <v>51227</v>
      </c>
      <c r="C167" s="13" t="str">
        <f>IF($A167="","",IF($A167&lt;='HELOC Calculator'!$B$14,"Draw","Repayment"))</f>
        <v>Repayment</v>
      </c>
      <c r="D167" s="15">
        <f t="shared" si="11"/>
        <v>42698.648519977687</v>
      </c>
      <c r="E167" s="15">
        <f>IF($A167="","",IF($C167="Draw",'HELOC Calculator'!$B$7,0))</f>
        <v>0</v>
      </c>
      <c r="F167" s="15">
        <f>IF($A167="","",$D167*('HELOC Calculator'!$B$8/12))</f>
        <v>302.44876034984196</v>
      </c>
      <c r="G167" s="15">
        <f>IF($A167="","",IF($C167="Draw",$F167,'HELOC Calculator'!$B$18))</f>
        <v>362.35218755795904</v>
      </c>
      <c r="H167" s="15">
        <f t="shared" si="8"/>
        <v>59.90342720811708</v>
      </c>
      <c r="I167" s="15">
        <f t="shared" si="9"/>
        <v>42638.745092769568</v>
      </c>
    </row>
    <row r="168" spans="1:9" ht="15" customHeight="1" x14ac:dyDescent="0.3">
      <c r="A168" s="13">
        <f>IF(167&lt;='HELOC Calculator'!$B$16,167,"")</f>
        <v>167</v>
      </c>
      <c r="B168" s="14">
        <f t="shared" si="10"/>
        <v>51257</v>
      </c>
      <c r="C168" s="13" t="str">
        <f>IF($A168="","",IF($A168&lt;='HELOC Calculator'!$B$14,"Draw","Repayment"))</f>
        <v>Repayment</v>
      </c>
      <c r="D168" s="15">
        <f t="shared" si="11"/>
        <v>42638.745092769568</v>
      </c>
      <c r="E168" s="15">
        <f>IF($A168="","",IF($C168="Draw",'HELOC Calculator'!$B$7,0))</f>
        <v>0</v>
      </c>
      <c r="F168" s="15">
        <f>IF($A168="","",$D168*('HELOC Calculator'!$B$8/12))</f>
        <v>302.02444440711781</v>
      </c>
      <c r="G168" s="15">
        <f>IF($A168="","",IF($C168="Draw",$F168,'HELOC Calculator'!$B$18))</f>
        <v>362.35218755795904</v>
      </c>
      <c r="H168" s="15">
        <f t="shared" si="8"/>
        <v>60.327743150841229</v>
      </c>
      <c r="I168" s="15">
        <f t="shared" si="9"/>
        <v>42578.417349618729</v>
      </c>
    </row>
    <row r="169" spans="1:9" ht="15" customHeight="1" x14ac:dyDescent="0.3">
      <c r="A169" s="13">
        <f>IF(168&lt;='HELOC Calculator'!$B$16,168,"")</f>
        <v>168</v>
      </c>
      <c r="B169" s="14">
        <f t="shared" si="10"/>
        <v>51288</v>
      </c>
      <c r="C169" s="13" t="str">
        <f>IF($A169="","",IF($A169&lt;='HELOC Calculator'!$B$14,"Draw","Repayment"))</f>
        <v>Repayment</v>
      </c>
      <c r="D169" s="15">
        <f t="shared" si="11"/>
        <v>42578.417349618729</v>
      </c>
      <c r="E169" s="15">
        <f>IF($A169="","",IF($C169="Draw",'HELOC Calculator'!$B$7,0))</f>
        <v>0</v>
      </c>
      <c r="F169" s="15">
        <f>IF($A169="","",$D169*('HELOC Calculator'!$B$8/12))</f>
        <v>301.59712289313268</v>
      </c>
      <c r="G169" s="15">
        <f>IF($A169="","",IF($C169="Draw",$F169,'HELOC Calculator'!$B$18))</f>
        <v>362.35218755795904</v>
      </c>
      <c r="H169" s="15">
        <f t="shared" si="8"/>
        <v>60.755064664826364</v>
      </c>
      <c r="I169" s="15">
        <f t="shared" si="9"/>
        <v>42517.662284953905</v>
      </c>
    </row>
    <row r="170" spans="1:9" ht="15" customHeight="1" x14ac:dyDescent="0.3">
      <c r="A170" s="13">
        <f>IF(169&lt;='HELOC Calculator'!$B$16,169,"")</f>
        <v>169</v>
      </c>
      <c r="B170" s="14">
        <f t="shared" si="10"/>
        <v>51318</v>
      </c>
      <c r="C170" s="13" t="str">
        <f>IF($A170="","",IF($A170&lt;='HELOC Calculator'!$B$14,"Draw","Repayment"))</f>
        <v>Repayment</v>
      </c>
      <c r="D170" s="15">
        <f t="shared" si="11"/>
        <v>42517.662284953905</v>
      </c>
      <c r="E170" s="15">
        <f>IF($A170="","",IF($C170="Draw",'HELOC Calculator'!$B$7,0))</f>
        <v>0</v>
      </c>
      <c r="F170" s="15">
        <f>IF($A170="","",$D170*('HELOC Calculator'!$B$8/12))</f>
        <v>301.16677451842349</v>
      </c>
      <c r="G170" s="15">
        <f>IF($A170="","",IF($C170="Draw",$F170,'HELOC Calculator'!$B$18))</f>
        <v>362.35218755795904</v>
      </c>
      <c r="H170" s="15">
        <f t="shared" si="8"/>
        <v>61.185413039535547</v>
      </c>
      <c r="I170" s="15">
        <f t="shared" si="9"/>
        <v>42456.476871914369</v>
      </c>
    </row>
    <row r="171" spans="1:9" ht="15" customHeight="1" x14ac:dyDescent="0.3">
      <c r="A171" s="13">
        <f>IF(170&lt;='HELOC Calculator'!$B$16,170,"")</f>
        <v>170</v>
      </c>
      <c r="B171" s="14">
        <f t="shared" si="10"/>
        <v>51349</v>
      </c>
      <c r="C171" s="13" t="str">
        <f>IF($A171="","",IF($A171&lt;='HELOC Calculator'!$B$14,"Draw","Repayment"))</f>
        <v>Repayment</v>
      </c>
      <c r="D171" s="15">
        <f t="shared" si="11"/>
        <v>42456.476871914369</v>
      </c>
      <c r="E171" s="15">
        <f>IF($A171="","",IF($C171="Draw",'HELOC Calculator'!$B$7,0))</f>
        <v>0</v>
      </c>
      <c r="F171" s="15">
        <f>IF($A171="","",$D171*('HELOC Calculator'!$B$8/12))</f>
        <v>300.73337784272678</v>
      </c>
      <c r="G171" s="15">
        <f>IF($A171="","",IF($C171="Draw",$F171,'HELOC Calculator'!$B$18))</f>
        <v>362.35218755795904</v>
      </c>
      <c r="H171" s="15">
        <f t="shared" si="8"/>
        <v>61.61880971523226</v>
      </c>
      <c r="I171" s="15">
        <f t="shared" si="9"/>
        <v>42394.858062199135</v>
      </c>
    </row>
    <row r="172" spans="1:9" ht="15" customHeight="1" x14ac:dyDescent="0.3">
      <c r="A172" s="13">
        <f>IF(171&lt;='HELOC Calculator'!$B$16,171,"")</f>
        <v>171</v>
      </c>
      <c r="B172" s="14">
        <f t="shared" si="10"/>
        <v>51380</v>
      </c>
      <c r="C172" s="13" t="str">
        <f>IF($A172="","",IF($A172&lt;='HELOC Calculator'!$B$14,"Draw","Repayment"))</f>
        <v>Repayment</v>
      </c>
      <c r="D172" s="15">
        <f t="shared" si="11"/>
        <v>42394.858062199135</v>
      </c>
      <c r="E172" s="15">
        <f>IF($A172="","",IF($C172="Draw",'HELOC Calculator'!$B$7,0))</f>
        <v>0</v>
      </c>
      <c r="F172" s="15">
        <f>IF($A172="","",$D172*('HELOC Calculator'!$B$8/12))</f>
        <v>300.29691127391055</v>
      </c>
      <c r="G172" s="15">
        <f>IF($A172="","",IF($C172="Draw",$F172,'HELOC Calculator'!$B$18))</f>
        <v>362.35218755795904</v>
      </c>
      <c r="H172" s="15">
        <f t="shared" si="8"/>
        <v>62.055276284048489</v>
      </c>
      <c r="I172" s="15">
        <f t="shared" si="9"/>
        <v>42332.80278591509</v>
      </c>
    </row>
    <row r="173" spans="1:9" ht="15" customHeight="1" x14ac:dyDescent="0.3">
      <c r="A173" s="13">
        <f>IF(172&lt;='HELOC Calculator'!$B$16,172,"")</f>
        <v>172</v>
      </c>
      <c r="B173" s="14">
        <f t="shared" si="10"/>
        <v>51410</v>
      </c>
      <c r="C173" s="13" t="str">
        <f>IF($A173="","",IF($A173&lt;='HELOC Calculator'!$B$14,"Draw","Repayment"))</f>
        <v>Repayment</v>
      </c>
      <c r="D173" s="15">
        <f t="shared" si="11"/>
        <v>42332.80278591509</v>
      </c>
      <c r="E173" s="15">
        <f>IF($A173="","",IF($C173="Draw",'HELOC Calculator'!$B$7,0))</f>
        <v>0</v>
      </c>
      <c r="F173" s="15">
        <f>IF($A173="","",$D173*('HELOC Calculator'!$B$8/12))</f>
        <v>299.85735306689855</v>
      </c>
      <c r="G173" s="15">
        <f>IF($A173="","",IF($C173="Draw",$F173,'HELOC Calculator'!$B$18))</f>
        <v>362.35218755795904</v>
      </c>
      <c r="H173" s="15">
        <f t="shared" si="8"/>
        <v>62.494834491060487</v>
      </c>
      <c r="I173" s="15">
        <f t="shared" si="9"/>
        <v>42270.307951424031</v>
      </c>
    </row>
    <row r="174" spans="1:9" ht="15" customHeight="1" x14ac:dyDescent="0.3">
      <c r="A174" s="13">
        <f>IF(173&lt;='HELOC Calculator'!$B$16,173,"")</f>
        <v>173</v>
      </c>
      <c r="B174" s="14">
        <f t="shared" si="10"/>
        <v>51441</v>
      </c>
      <c r="C174" s="13" t="str">
        <f>IF($A174="","",IF($A174&lt;='HELOC Calculator'!$B$14,"Draw","Repayment"))</f>
        <v>Repayment</v>
      </c>
      <c r="D174" s="15">
        <f t="shared" si="11"/>
        <v>42270.307951424031</v>
      </c>
      <c r="E174" s="15">
        <f>IF($A174="","",IF($C174="Draw",'HELOC Calculator'!$B$7,0))</f>
        <v>0</v>
      </c>
      <c r="F174" s="15">
        <f>IF($A174="","",$D174*('HELOC Calculator'!$B$8/12))</f>
        <v>299.41468132258689</v>
      </c>
      <c r="G174" s="15">
        <f>IF($A174="","",IF($C174="Draw",$F174,'HELOC Calculator'!$B$18))</f>
        <v>362.35218755795904</v>
      </c>
      <c r="H174" s="15">
        <f t="shared" si="8"/>
        <v>62.937506235372155</v>
      </c>
      <c r="I174" s="15">
        <f t="shared" si="9"/>
        <v>42207.370445188659</v>
      </c>
    </row>
    <row r="175" spans="1:9" ht="15" customHeight="1" x14ac:dyDescent="0.3">
      <c r="A175" s="13">
        <f>IF(174&lt;='HELOC Calculator'!$B$16,174,"")</f>
        <v>174</v>
      </c>
      <c r="B175" s="14">
        <f t="shared" si="10"/>
        <v>51471</v>
      </c>
      <c r="C175" s="13" t="str">
        <f>IF($A175="","",IF($A175&lt;='HELOC Calculator'!$B$14,"Draw","Repayment"))</f>
        <v>Repayment</v>
      </c>
      <c r="D175" s="15">
        <f t="shared" si="11"/>
        <v>42207.370445188659</v>
      </c>
      <c r="E175" s="15">
        <f>IF($A175="","",IF($C175="Draw",'HELOC Calculator'!$B$7,0))</f>
        <v>0</v>
      </c>
      <c r="F175" s="15">
        <f>IF($A175="","",$D175*('HELOC Calculator'!$B$8/12))</f>
        <v>298.96887398675301</v>
      </c>
      <c r="G175" s="15">
        <f>IF($A175="","",IF($C175="Draw",$F175,'HELOC Calculator'!$B$18))</f>
        <v>362.35218755795904</v>
      </c>
      <c r="H175" s="15">
        <f t="shared" si="8"/>
        <v>63.383313571206031</v>
      </c>
      <c r="I175" s="15">
        <f t="shared" si="9"/>
        <v>42143.987131617454</v>
      </c>
    </row>
    <row r="176" spans="1:9" ht="15" customHeight="1" x14ac:dyDescent="0.3">
      <c r="A176" s="13">
        <f>IF(175&lt;='HELOC Calculator'!$B$16,175,"")</f>
        <v>175</v>
      </c>
      <c r="B176" s="14">
        <f t="shared" si="10"/>
        <v>51502</v>
      </c>
      <c r="C176" s="13" t="str">
        <f>IF($A176="","",IF($A176&lt;='HELOC Calculator'!$B$14,"Draw","Repayment"))</f>
        <v>Repayment</v>
      </c>
      <c r="D176" s="15">
        <f t="shared" si="11"/>
        <v>42143.987131617454</v>
      </c>
      <c r="E176" s="15">
        <f>IF($A176="","",IF($C176="Draw",'HELOC Calculator'!$B$7,0))</f>
        <v>0</v>
      </c>
      <c r="F176" s="15">
        <f>IF($A176="","",$D176*('HELOC Calculator'!$B$8/12))</f>
        <v>298.51990884895696</v>
      </c>
      <c r="G176" s="15">
        <f>IF($A176="","",IF($C176="Draw",$F176,'HELOC Calculator'!$B$18))</f>
        <v>362.35218755795904</v>
      </c>
      <c r="H176" s="15">
        <f t="shared" si="8"/>
        <v>63.832278709002082</v>
      </c>
      <c r="I176" s="15">
        <f t="shared" si="9"/>
        <v>42080.154852908454</v>
      </c>
    </row>
    <row r="177" spans="1:9" ht="15" customHeight="1" x14ac:dyDescent="0.3">
      <c r="A177" s="13">
        <f>IF(176&lt;='HELOC Calculator'!$B$16,176,"")</f>
        <v>176</v>
      </c>
      <c r="B177" s="14">
        <f t="shared" si="10"/>
        <v>51533</v>
      </c>
      <c r="C177" s="13" t="str">
        <f>IF($A177="","",IF($A177&lt;='HELOC Calculator'!$B$14,"Draw","Repayment"))</f>
        <v>Repayment</v>
      </c>
      <c r="D177" s="15">
        <f t="shared" si="11"/>
        <v>42080.154852908454</v>
      </c>
      <c r="E177" s="15">
        <f>IF($A177="","",IF($C177="Draw",'HELOC Calculator'!$B$7,0))</f>
        <v>0</v>
      </c>
      <c r="F177" s="15">
        <f>IF($A177="","",$D177*('HELOC Calculator'!$B$8/12))</f>
        <v>298.06776354143489</v>
      </c>
      <c r="G177" s="15">
        <f>IF($A177="","",IF($C177="Draw",$F177,'HELOC Calculator'!$B$18))</f>
        <v>362.35218755795904</v>
      </c>
      <c r="H177" s="15">
        <f t="shared" si="8"/>
        <v>64.284424016524156</v>
      </c>
      <c r="I177" s="15">
        <f t="shared" si="9"/>
        <v>42015.870428891933</v>
      </c>
    </row>
    <row r="178" spans="1:9" ht="15" customHeight="1" x14ac:dyDescent="0.3">
      <c r="A178" s="13">
        <f>IF(177&lt;='HELOC Calculator'!$B$16,177,"")</f>
        <v>177</v>
      </c>
      <c r="B178" s="14">
        <f t="shared" si="10"/>
        <v>51561</v>
      </c>
      <c r="C178" s="13" t="str">
        <f>IF($A178="","",IF($A178&lt;='HELOC Calculator'!$B$14,"Draw","Repayment"))</f>
        <v>Repayment</v>
      </c>
      <c r="D178" s="15">
        <f t="shared" si="11"/>
        <v>42015.870428891933</v>
      </c>
      <c r="E178" s="15">
        <f>IF($A178="","",IF($C178="Draw",'HELOC Calculator'!$B$7,0))</f>
        <v>0</v>
      </c>
      <c r="F178" s="15">
        <f>IF($A178="","",$D178*('HELOC Calculator'!$B$8/12))</f>
        <v>297.61241553798453</v>
      </c>
      <c r="G178" s="15">
        <f>IF($A178="","",IF($C178="Draw",$F178,'HELOC Calculator'!$B$18))</f>
        <v>362.35218755795904</v>
      </c>
      <c r="H178" s="15">
        <f t="shared" si="8"/>
        <v>64.739772019974509</v>
      </c>
      <c r="I178" s="15">
        <f t="shared" si="9"/>
        <v>41951.130656871959</v>
      </c>
    </row>
    <row r="179" spans="1:9" ht="15" customHeight="1" x14ac:dyDescent="0.3">
      <c r="A179" s="13">
        <f>IF(178&lt;='HELOC Calculator'!$B$16,178,"")</f>
        <v>178</v>
      </c>
      <c r="B179" s="14">
        <f t="shared" si="10"/>
        <v>51592</v>
      </c>
      <c r="C179" s="13" t="str">
        <f>IF($A179="","",IF($A179&lt;='HELOC Calculator'!$B$14,"Draw","Repayment"))</f>
        <v>Repayment</v>
      </c>
      <c r="D179" s="15">
        <f t="shared" si="11"/>
        <v>41951.130656871959</v>
      </c>
      <c r="E179" s="15">
        <f>IF($A179="","",IF($C179="Draw",'HELOC Calculator'!$B$7,0))</f>
        <v>0</v>
      </c>
      <c r="F179" s="15">
        <f>IF($A179="","",$D179*('HELOC Calculator'!$B$8/12))</f>
        <v>297.15384215284308</v>
      </c>
      <c r="G179" s="15">
        <f>IF($A179="","",IF($C179="Draw",$F179,'HELOC Calculator'!$B$18))</f>
        <v>362.35218755795904</v>
      </c>
      <c r="H179" s="15">
        <f t="shared" si="8"/>
        <v>65.198345405115958</v>
      </c>
      <c r="I179" s="15">
        <f t="shared" si="9"/>
        <v>41885.932311466844</v>
      </c>
    </row>
    <row r="180" spans="1:9" ht="15" customHeight="1" x14ac:dyDescent="0.3">
      <c r="A180" s="13">
        <f>IF(179&lt;='HELOC Calculator'!$B$16,179,"")</f>
        <v>179</v>
      </c>
      <c r="B180" s="14">
        <f t="shared" si="10"/>
        <v>51622</v>
      </c>
      <c r="C180" s="13" t="str">
        <f>IF($A180="","",IF($A180&lt;='HELOC Calculator'!$B$14,"Draw","Repayment"))</f>
        <v>Repayment</v>
      </c>
      <c r="D180" s="15">
        <f t="shared" si="11"/>
        <v>41885.932311466844</v>
      </c>
      <c r="E180" s="15">
        <f>IF($A180="","",IF($C180="Draw",'HELOC Calculator'!$B$7,0))</f>
        <v>0</v>
      </c>
      <c r="F180" s="15">
        <f>IF($A180="","",$D180*('HELOC Calculator'!$B$8/12))</f>
        <v>296.69202053955684</v>
      </c>
      <c r="G180" s="15">
        <f>IF($A180="","",IF($C180="Draw",$F180,'HELOC Calculator'!$B$18))</f>
        <v>362.35218755795904</v>
      </c>
      <c r="H180" s="15">
        <f t="shared" si="8"/>
        <v>65.660167018402205</v>
      </c>
      <c r="I180" s="15">
        <f t="shared" si="9"/>
        <v>41820.272144448441</v>
      </c>
    </row>
    <row r="181" spans="1:9" ht="15" customHeight="1" x14ac:dyDescent="0.3">
      <c r="A181" s="13">
        <f>IF(180&lt;='HELOC Calculator'!$B$16,180,"")</f>
        <v>180</v>
      </c>
      <c r="B181" s="14">
        <f t="shared" si="10"/>
        <v>51653</v>
      </c>
      <c r="C181" s="13" t="str">
        <f>IF($A181="","",IF($A181&lt;='HELOC Calculator'!$B$14,"Draw","Repayment"))</f>
        <v>Repayment</v>
      </c>
      <c r="D181" s="15">
        <f t="shared" si="11"/>
        <v>41820.272144448441</v>
      </c>
      <c r="E181" s="15">
        <f>IF($A181="","",IF($C181="Draw",'HELOC Calculator'!$B$7,0))</f>
        <v>0</v>
      </c>
      <c r="F181" s="15">
        <f>IF($A181="","",$D181*('HELOC Calculator'!$B$8/12))</f>
        <v>296.22692768984314</v>
      </c>
      <c r="G181" s="15">
        <f>IF($A181="","",IF($C181="Draw",$F181,'HELOC Calculator'!$B$18))</f>
        <v>362.35218755795904</v>
      </c>
      <c r="H181" s="15">
        <f t="shared" si="8"/>
        <v>66.125259868115904</v>
      </c>
      <c r="I181" s="15">
        <f t="shared" si="9"/>
        <v>41754.146884580325</v>
      </c>
    </row>
    <row r="182" spans="1:9" ht="15" customHeight="1" x14ac:dyDescent="0.3">
      <c r="A182" s="13">
        <f>IF(181&lt;='HELOC Calculator'!$B$16,181,"")</f>
        <v>181</v>
      </c>
      <c r="B182" s="14">
        <f t="shared" si="10"/>
        <v>51683</v>
      </c>
      <c r="C182" s="13" t="str">
        <f>IF($A182="","",IF($A182&lt;='HELOC Calculator'!$B$14,"Draw","Repayment"))</f>
        <v>Repayment</v>
      </c>
      <c r="D182" s="15">
        <f t="shared" si="11"/>
        <v>41754.146884580325</v>
      </c>
      <c r="E182" s="15">
        <f>IF($A182="","",IF($C182="Draw",'HELOC Calculator'!$B$7,0))</f>
        <v>0</v>
      </c>
      <c r="F182" s="15">
        <f>IF($A182="","",$D182*('HELOC Calculator'!$B$8/12))</f>
        <v>295.75854043244397</v>
      </c>
      <c r="G182" s="15">
        <f>IF($A182="","",IF($C182="Draw",$F182,'HELOC Calculator'!$B$18))</f>
        <v>362.35218755795904</v>
      </c>
      <c r="H182" s="15">
        <f t="shared" si="8"/>
        <v>66.593647125515076</v>
      </c>
      <c r="I182" s="15">
        <f t="shared" si="9"/>
        <v>41687.553237454813</v>
      </c>
    </row>
    <row r="183" spans="1:9" ht="15" customHeight="1" x14ac:dyDescent="0.3">
      <c r="A183" s="13">
        <f>IF(182&lt;='HELOC Calculator'!$B$16,182,"")</f>
        <v>182</v>
      </c>
      <c r="B183" s="14">
        <f t="shared" si="10"/>
        <v>51714</v>
      </c>
      <c r="C183" s="13" t="str">
        <f>IF($A183="","",IF($A183&lt;='HELOC Calculator'!$B$14,"Draw","Repayment"))</f>
        <v>Repayment</v>
      </c>
      <c r="D183" s="15">
        <f t="shared" si="11"/>
        <v>41687.553237454813</v>
      </c>
      <c r="E183" s="15">
        <f>IF($A183="","",IF($C183="Draw",'HELOC Calculator'!$B$7,0))</f>
        <v>0</v>
      </c>
      <c r="F183" s="15">
        <f>IF($A183="","",$D183*('HELOC Calculator'!$B$8/12))</f>
        <v>295.28683543197161</v>
      </c>
      <c r="G183" s="15">
        <f>IF($A183="","",IF($C183="Draw",$F183,'HELOC Calculator'!$B$18))</f>
        <v>362.35218755795904</v>
      </c>
      <c r="H183" s="15">
        <f t="shared" si="8"/>
        <v>67.065352125987431</v>
      </c>
      <c r="I183" s="15">
        <f t="shared" si="9"/>
        <v>41620.487885328825</v>
      </c>
    </row>
    <row r="184" spans="1:9" ht="15" customHeight="1" x14ac:dyDescent="0.3">
      <c r="A184" s="13">
        <f>IF(183&lt;='HELOC Calculator'!$B$16,183,"")</f>
        <v>183</v>
      </c>
      <c r="B184" s="14">
        <f t="shared" si="10"/>
        <v>51745</v>
      </c>
      <c r="C184" s="13" t="str">
        <f>IF($A184="","",IF($A184&lt;='HELOC Calculator'!$B$14,"Draw","Repayment"))</f>
        <v>Repayment</v>
      </c>
      <c r="D184" s="15">
        <f t="shared" si="11"/>
        <v>41620.487885328825</v>
      </c>
      <c r="E184" s="15">
        <f>IF($A184="","",IF($C184="Draw",'HELOC Calculator'!$B$7,0))</f>
        <v>0</v>
      </c>
      <c r="F184" s="15">
        <f>IF($A184="","",$D184*('HELOC Calculator'!$B$8/12))</f>
        <v>294.81178918774589</v>
      </c>
      <c r="G184" s="15">
        <f>IF($A184="","",IF($C184="Draw",$F184,'HELOC Calculator'!$B$18))</f>
        <v>362.35218755795904</v>
      </c>
      <c r="H184" s="15">
        <f t="shared" si="8"/>
        <v>67.540398370213154</v>
      </c>
      <c r="I184" s="15">
        <f t="shared" si="9"/>
        <v>41552.947486958612</v>
      </c>
    </row>
    <row r="185" spans="1:9" ht="15" customHeight="1" x14ac:dyDescent="0.3">
      <c r="A185" s="13">
        <f>IF(184&lt;='HELOC Calculator'!$B$16,184,"")</f>
        <v>184</v>
      </c>
      <c r="B185" s="14">
        <f t="shared" si="10"/>
        <v>51775</v>
      </c>
      <c r="C185" s="13" t="str">
        <f>IF($A185="","",IF($A185&lt;='HELOC Calculator'!$B$14,"Draw","Repayment"))</f>
        <v>Repayment</v>
      </c>
      <c r="D185" s="15">
        <f t="shared" si="11"/>
        <v>41552.947486958612</v>
      </c>
      <c r="E185" s="15">
        <f>IF($A185="","",IF($C185="Draw",'HELOC Calculator'!$B$7,0))</f>
        <v>0</v>
      </c>
      <c r="F185" s="15">
        <f>IF($A185="","",$D185*('HELOC Calculator'!$B$8/12))</f>
        <v>294.3333780326235</v>
      </c>
      <c r="G185" s="15">
        <f>IF($A185="","",IF($C185="Draw",$F185,'HELOC Calculator'!$B$18))</f>
        <v>362.35218755795904</v>
      </c>
      <c r="H185" s="15">
        <f t="shared" si="8"/>
        <v>68.018809525335541</v>
      </c>
      <c r="I185" s="15">
        <f t="shared" si="9"/>
        <v>41484.92867743328</v>
      </c>
    </row>
    <row r="186" spans="1:9" ht="15" customHeight="1" x14ac:dyDescent="0.3">
      <c r="A186" s="13">
        <f>IF(185&lt;='HELOC Calculator'!$B$16,185,"")</f>
        <v>185</v>
      </c>
      <c r="B186" s="14">
        <f t="shared" si="10"/>
        <v>51806</v>
      </c>
      <c r="C186" s="13" t="str">
        <f>IF($A186="","",IF($A186&lt;='HELOC Calculator'!$B$14,"Draw","Repayment"))</f>
        <v>Repayment</v>
      </c>
      <c r="D186" s="15">
        <f t="shared" si="11"/>
        <v>41484.92867743328</v>
      </c>
      <c r="E186" s="15">
        <f>IF($A186="","",IF($C186="Draw",'HELOC Calculator'!$B$7,0))</f>
        <v>0</v>
      </c>
      <c r="F186" s="15">
        <f>IF($A186="","",$D186*('HELOC Calculator'!$B$8/12))</f>
        <v>293.85157813181911</v>
      </c>
      <c r="G186" s="15">
        <f>IF($A186="","",IF($C186="Draw",$F186,'HELOC Calculator'!$B$18))</f>
        <v>362.35218755795904</v>
      </c>
      <c r="H186" s="15">
        <f t="shared" si="8"/>
        <v>68.500609426139931</v>
      </c>
      <c r="I186" s="15">
        <f t="shared" si="9"/>
        <v>41416.428068007139</v>
      </c>
    </row>
    <row r="187" spans="1:9" ht="15" customHeight="1" x14ac:dyDescent="0.3">
      <c r="A187" s="13">
        <f>IF(186&lt;='HELOC Calculator'!$B$16,186,"")</f>
        <v>186</v>
      </c>
      <c r="B187" s="14">
        <f t="shared" si="10"/>
        <v>51836</v>
      </c>
      <c r="C187" s="13" t="str">
        <f>IF($A187="","",IF($A187&lt;='HELOC Calculator'!$B$14,"Draw","Repayment"))</f>
        <v>Repayment</v>
      </c>
      <c r="D187" s="15">
        <f t="shared" si="11"/>
        <v>41416.428068007139</v>
      </c>
      <c r="E187" s="15">
        <f>IF($A187="","",IF($C187="Draw",'HELOC Calculator'!$B$7,0))</f>
        <v>0</v>
      </c>
      <c r="F187" s="15">
        <f>IF($A187="","",$D187*('HELOC Calculator'!$B$8/12))</f>
        <v>293.36636548171725</v>
      </c>
      <c r="G187" s="15">
        <f>IF($A187="","",IF($C187="Draw",$F187,'HELOC Calculator'!$B$18))</f>
        <v>362.35218755795904</v>
      </c>
      <c r="H187" s="15">
        <f t="shared" si="8"/>
        <v>68.985822076241789</v>
      </c>
      <c r="I187" s="15">
        <f t="shared" si="9"/>
        <v>41347.442245930899</v>
      </c>
    </row>
    <row r="188" spans="1:9" ht="15" customHeight="1" x14ac:dyDescent="0.3">
      <c r="A188" s="13">
        <f>IF(187&lt;='HELOC Calculator'!$B$16,187,"")</f>
        <v>187</v>
      </c>
      <c r="B188" s="14">
        <f t="shared" si="10"/>
        <v>51867</v>
      </c>
      <c r="C188" s="13" t="str">
        <f>IF($A188="","",IF($A188&lt;='HELOC Calculator'!$B$14,"Draw","Repayment"))</f>
        <v>Repayment</v>
      </c>
      <c r="D188" s="15">
        <f t="shared" si="11"/>
        <v>41347.442245930899</v>
      </c>
      <c r="E188" s="15">
        <f>IF($A188="","",IF($C188="Draw",'HELOC Calculator'!$B$7,0))</f>
        <v>0</v>
      </c>
      <c r="F188" s="15">
        <f>IF($A188="","",$D188*('HELOC Calculator'!$B$8/12))</f>
        <v>292.8777159086772</v>
      </c>
      <c r="G188" s="15">
        <f>IF($A188="","",IF($C188="Draw",$F188,'HELOC Calculator'!$B$18))</f>
        <v>362.35218755795904</v>
      </c>
      <c r="H188" s="15">
        <f t="shared" si="8"/>
        <v>69.474471649281838</v>
      </c>
      <c r="I188" s="15">
        <f t="shared" si="9"/>
        <v>41277.96777428162</v>
      </c>
    </row>
    <row r="189" spans="1:9" ht="15" customHeight="1" x14ac:dyDescent="0.3">
      <c r="A189" s="13">
        <f>IF(188&lt;='HELOC Calculator'!$B$16,188,"")</f>
        <v>188</v>
      </c>
      <c r="B189" s="14">
        <f t="shared" si="10"/>
        <v>51898</v>
      </c>
      <c r="C189" s="13" t="str">
        <f>IF($A189="","",IF($A189&lt;='HELOC Calculator'!$B$14,"Draw","Repayment"))</f>
        <v>Repayment</v>
      </c>
      <c r="D189" s="15">
        <f t="shared" si="11"/>
        <v>41277.96777428162</v>
      </c>
      <c r="E189" s="15">
        <f>IF($A189="","",IF($C189="Draw",'HELOC Calculator'!$B$7,0))</f>
        <v>0</v>
      </c>
      <c r="F189" s="15">
        <f>IF($A189="","",$D189*('HELOC Calculator'!$B$8/12))</f>
        <v>292.38560506782818</v>
      </c>
      <c r="G189" s="15">
        <f>IF($A189="","",IF($C189="Draw",$F189,'HELOC Calculator'!$B$18))</f>
        <v>362.35218755795904</v>
      </c>
      <c r="H189" s="15">
        <f t="shared" si="8"/>
        <v>69.966582490130861</v>
      </c>
      <c r="I189" s="15">
        <f t="shared" si="9"/>
        <v>41208.001191791489</v>
      </c>
    </row>
    <row r="190" spans="1:9" ht="15" customHeight="1" x14ac:dyDescent="0.3">
      <c r="A190" s="13">
        <f>IF(189&lt;='HELOC Calculator'!$B$16,189,"")</f>
        <v>189</v>
      </c>
      <c r="B190" s="14">
        <f t="shared" si="10"/>
        <v>51926</v>
      </c>
      <c r="C190" s="13" t="str">
        <f>IF($A190="","",IF($A190&lt;='HELOC Calculator'!$B$14,"Draw","Repayment"))</f>
        <v>Repayment</v>
      </c>
      <c r="D190" s="15">
        <f t="shared" si="11"/>
        <v>41208.001191791489</v>
      </c>
      <c r="E190" s="15">
        <f>IF($A190="","",IF($C190="Draw",'HELOC Calculator'!$B$7,0))</f>
        <v>0</v>
      </c>
      <c r="F190" s="15">
        <f>IF($A190="","",$D190*('HELOC Calculator'!$B$8/12))</f>
        <v>291.89000844185642</v>
      </c>
      <c r="G190" s="15">
        <f>IF($A190="","",IF($C190="Draw",$F190,'HELOC Calculator'!$B$18))</f>
        <v>362.35218755795904</v>
      </c>
      <c r="H190" s="15">
        <f t="shared" si="8"/>
        <v>70.462179116102618</v>
      </c>
      <c r="I190" s="15">
        <f t="shared" si="9"/>
        <v>41137.539012675385</v>
      </c>
    </row>
    <row r="191" spans="1:9" ht="15" customHeight="1" x14ac:dyDescent="0.3">
      <c r="A191" s="13">
        <f>IF(190&lt;='HELOC Calculator'!$B$16,190,"")</f>
        <v>190</v>
      </c>
      <c r="B191" s="14">
        <f t="shared" si="10"/>
        <v>51957</v>
      </c>
      <c r="C191" s="13" t="str">
        <f>IF($A191="","",IF($A191&lt;='HELOC Calculator'!$B$14,"Draw","Repayment"))</f>
        <v>Repayment</v>
      </c>
      <c r="D191" s="15">
        <f t="shared" si="11"/>
        <v>41137.539012675385</v>
      </c>
      <c r="E191" s="15">
        <f>IF($A191="","",IF($C191="Draw",'HELOC Calculator'!$B$7,0))</f>
        <v>0</v>
      </c>
      <c r="F191" s="15">
        <f>IF($A191="","",$D191*('HELOC Calculator'!$B$8/12))</f>
        <v>291.39090133978402</v>
      </c>
      <c r="G191" s="15">
        <f>IF($A191="","",IF($C191="Draw",$F191,'HELOC Calculator'!$B$18))</f>
        <v>362.35218755795904</v>
      </c>
      <c r="H191" s="15">
        <f t="shared" si="8"/>
        <v>70.961286218175019</v>
      </c>
      <c r="I191" s="15">
        <f t="shared" si="9"/>
        <v>41066.57772645721</v>
      </c>
    </row>
    <row r="192" spans="1:9" ht="15" customHeight="1" x14ac:dyDescent="0.3">
      <c r="A192" s="13">
        <f>IF(191&lt;='HELOC Calculator'!$B$16,191,"")</f>
        <v>191</v>
      </c>
      <c r="B192" s="14">
        <f t="shared" si="10"/>
        <v>51987</v>
      </c>
      <c r="C192" s="13" t="str">
        <f>IF($A192="","",IF($A192&lt;='HELOC Calculator'!$B$14,"Draw","Repayment"))</f>
        <v>Repayment</v>
      </c>
      <c r="D192" s="15">
        <f t="shared" si="11"/>
        <v>41066.57772645721</v>
      </c>
      <c r="E192" s="15">
        <f>IF($A192="","",IF($C192="Draw",'HELOC Calculator'!$B$7,0))</f>
        <v>0</v>
      </c>
      <c r="F192" s="15">
        <f>IF($A192="","",$D192*('HELOC Calculator'!$B$8/12))</f>
        <v>290.8882588957386</v>
      </c>
      <c r="G192" s="15">
        <f>IF($A192="","",IF($C192="Draw",$F192,'HELOC Calculator'!$B$18))</f>
        <v>362.35218755795904</v>
      </c>
      <c r="H192" s="15">
        <f t="shared" si="8"/>
        <v>71.463928662220439</v>
      </c>
      <c r="I192" s="15">
        <f t="shared" si="9"/>
        <v>40995.113797794991</v>
      </c>
    </row>
    <row r="193" spans="1:9" ht="15" customHeight="1" x14ac:dyDescent="0.3">
      <c r="A193" s="13">
        <f>IF(192&lt;='HELOC Calculator'!$B$16,192,"")</f>
        <v>192</v>
      </c>
      <c r="B193" s="14">
        <f t="shared" si="10"/>
        <v>52018</v>
      </c>
      <c r="C193" s="13" t="str">
        <f>IF($A193="","",IF($A193&lt;='HELOC Calculator'!$B$14,"Draw","Repayment"))</f>
        <v>Repayment</v>
      </c>
      <c r="D193" s="15">
        <f t="shared" si="11"/>
        <v>40995.113797794991</v>
      </c>
      <c r="E193" s="15">
        <f>IF($A193="","",IF($C193="Draw",'HELOC Calculator'!$B$7,0))</f>
        <v>0</v>
      </c>
      <c r="F193" s="15">
        <f>IF($A193="","",$D193*('HELOC Calculator'!$B$8/12))</f>
        <v>290.38205606771453</v>
      </c>
      <c r="G193" s="15">
        <f>IF($A193="","",IF($C193="Draw",$F193,'HELOC Calculator'!$B$18))</f>
        <v>362.35218755795904</v>
      </c>
      <c r="H193" s="15">
        <f t="shared" si="8"/>
        <v>71.970131490244512</v>
      </c>
      <c r="I193" s="15">
        <f t="shared" si="9"/>
        <v>40923.14366630475</v>
      </c>
    </row>
    <row r="194" spans="1:9" ht="15" customHeight="1" x14ac:dyDescent="0.3">
      <c r="A194" s="13">
        <f>IF(193&lt;='HELOC Calculator'!$B$16,193,"")</f>
        <v>193</v>
      </c>
      <c r="B194" s="14">
        <f t="shared" si="10"/>
        <v>52048</v>
      </c>
      <c r="C194" s="13" t="str">
        <f>IF($A194="","",IF($A194&lt;='HELOC Calculator'!$B$14,"Draw","Repayment"))</f>
        <v>Repayment</v>
      </c>
      <c r="D194" s="15">
        <f t="shared" si="11"/>
        <v>40923.14366630475</v>
      </c>
      <c r="E194" s="15">
        <f>IF($A194="","",IF($C194="Draw",'HELOC Calculator'!$B$7,0))</f>
        <v>0</v>
      </c>
      <c r="F194" s="15">
        <f>IF($A194="","",$D194*('HELOC Calculator'!$B$8/12))</f>
        <v>289.87226763632532</v>
      </c>
      <c r="G194" s="15">
        <f>IF($A194="","",IF($C194="Draw",$F194,'HELOC Calculator'!$B$18))</f>
        <v>362.35218755795904</v>
      </c>
      <c r="H194" s="15">
        <f t="shared" ref="H194:H257" si="12">IF($A194="","",IF($C194="Draw",0,MAX($G194-$F194,0)))</f>
        <v>72.479919921633723</v>
      </c>
      <c r="I194" s="15">
        <f t="shared" ref="I194:I257" si="13">IF($A194="","",MAX($D194+$E194-$H194,0))</f>
        <v>40850.663746383114</v>
      </c>
    </row>
    <row r="195" spans="1:9" ht="15" customHeight="1" x14ac:dyDescent="0.3">
      <c r="A195" s="13">
        <f>IF(194&lt;='HELOC Calculator'!$B$16,194,"")</f>
        <v>194</v>
      </c>
      <c r="B195" s="14">
        <f t="shared" ref="B195:B258" si="14">IF($A195="","",EDATE($B194,1))</f>
        <v>52079</v>
      </c>
      <c r="C195" s="13" t="str">
        <f>IF($A195="","",IF($A195&lt;='HELOC Calculator'!$B$14,"Draw","Repayment"))</f>
        <v>Repayment</v>
      </c>
      <c r="D195" s="15">
        <f t="shared" ref="D195:D258" si="15">IF($A195="","",$I194)</f>
        <v>40850.663746383114</v>
      </c>
      <c r="E195" s="15">
        <f>IF($A195="","",IF($C195="Draw",'HELOC Calculator'!$B$7,0))</f>
        <v>0</v>
      </c>
      <c r="F195" s="15">
        <f>IF($A195="","",$D195*('HELOC Calculator'!$B$8/12))</f>
        <v>289.3588682035471</v>
      </c>
      <c r="G195" s="15">
        <f>IF($A195="","",IF($C195="Draw",$F195,'HELOC Calculator'!$B$18))</f>
        <v>362.35218755795904</v>
      </c>
      <c r="H195" s="15">
        <f t="shared" si="12"/>
        <v>72.993319354411938</v>
      </c>
      <c r="I195" s="15">
        <f t="shared" si="13"/>
        <v>40777.670427028701</v>
      </c>
    </row>
    <row r="196" spans="1:9" ht="15" customHeight="1" x14ac:dyDescent="0.3">
      <c r="A196" s="13">
        <f>IF(195&lt;='HELOC Calculator'!$B$16,195,"")</f>
        <v>195</v>
      </c>
      <c r="B196" s="14">
        <f t="shared" si="14"/>
        <v>52110</v>
      </c>
      <c r="C196" s="13" t="str">
        <f>IF($A196="","",IF($A196&lt;='HELOC Calculator'!$B$14,"Draw","Repayment"))</f>
        <v>Repayment</v>
      </c>
      <c r="D196" s="15">
        <f t="shared" si="15"/>
        <v>40777.670427028701</v>
      </c>
      <c r="E196" s="15">
        <f>IF($A196="","",IF($C196="Draw",'HELOC Calculator'!$B$7,0))</f>
        <v>0</v>
      </c>
      <c r="F196" s="15">
        <f>IF($A196="","",$D196*('HELOC Calculator'!$B$8/12))</f>
        <v>288.84183219145331</v>
      </c>
      <c r="G196" s="15">
        <f>IF($A196="","",IF($C196="Draw",$F196,'HELOC Calculator'!$B$18))</f>
        <v>362.35218755795904</v>
      </c>
      <c r="H196" s="15">
        <f t="shared" si="12"/>
        <v>73.510355366505735</v>
      </c>
      <c r="I196" s="15">
        <f t="shared" si="13"/>
        <v>40704.160071662198</v>
      </c>
    </row>
    <row r="197" spans="1:9" ht="15" customHeight="1" x14ac:dyDescent="0.3">
      <c r="A197" s="13">
        <f>IF(196&lt;='HELOC Calculator'!$B$16,196,"")</f>
        <v>196</v>
      </c>
      <c r="B197" s="14">
        <f t="shared" si="14"/>
        <v>52140</v>
      </c>
      <c r="C197" s="13" t="str">
        <f>IF($A197="","",IF($A197&lt;='HELOC Calculator'!$B$14,"Draw","Repayment"))</f>
        <v>Repayment</v>
      </c>
      <c r="D197" s="15">
        <f t="shared" si="15"/>
        <v>40704.160071662198</v>
      </c>
      <c r="E197" s="15">
        <f>IF($A197="","",IF($C197="Draw",'HELOC Calculator'!$B$7,0))</f>
        <v>0</v>
      </c>
      <c r="F197" s="15">
        <f>IF($A197="","",$D197*('HELOC Calculator'!$B$8/12))</f>
        <v>288.3211338409406</v>
      </c>
      <c r="G197" s="15">
        <f>IF($A197="","",IF($C197="Draw",$F197,'HELOC Calculator'!$B$18))</f>
        <v>362.35218755795904</v>
      </c>
      <c r="H197" s="15">
        <f t="shared" si="12"/>
        <v>74.031053717018438</v>
      </c>
      <c r="I197" s="15">
        <f t="shared" si="13"/>
        <v>40630.129017945183</v>
      </c>
    </row>
    <row r="198" spans="1:9" ht="15" customHeight="1" x14ac:dyDescent="0.3">
      <c r="A198" s="13">
        <f>IF(197&lt;='HELOC Calculator'!$B$16,197,"")</f>
        <v>197</v>
      </c>
      <c r="B198" s="14">
        <f t="shared" si="14"/>
        <v>52171</v>
      </c>
      <c r="C198" s="13" t="str">
        <f>IF($A198="","",IF($A198&lt;='HELOC Calculator'!$B$14,"Draw","Repayment"))</f>
        <v>Repayment</v>
      </c>
      <c r="D198" s="15">
        <f t="shared" si="15"/>
        <v>40630.129017945183</v>
      </c>
      <c r="E198" s="15">
        <f>IF($A198="","",IF($C198="Draw",'HELOC Calculator'!$B$7,0))</f>
        <v>0</v>
      </c>
      <c r="F198" s="15">
        <f>IF($A198="","",$D198*('HELOC Calculator'!$B$8/12))</f>
        <v>287.79674721044506</v>
      </c>
      <c r="G198" s="15">
        <f>IF($A198="","",IF($C198="Draw",$F198,'HELOC Calculator'!$B$18))</f>
        <v>362.35218755795904</v>
      </c>
      <c r="H198" s="15">
        <f t="shared" si="12"/>
        <v>74.555440347513979</v>
      </c>
      <c r="I198" s="15">
        <f t="shared" si="13"/>
        <v>40555.573577597672</v>
      </c>
    </row>
    <row r="199" spans="1:9" ht="15" customHeight="1" x14ac:dyDescent="0.3">
      <c r="A199" s="13">
        <f>IF(198&lt;='HELOC Calculator'!$B$16,198,"")</f>
        <v>198</v>
      </c>
      <c r="B199" s="14">
        <f t="shared" si="14"/>
        <v>52201</v>
      </c>
      <c r="C199" s="13" t="str">
        <f>IF($A199="","",IF($A199&lt;='HELOC Calculator'!$B$14,"Draw","Repayment"))</f>
        <v>Repayment</v>
      </c>
      <c r="D199" s="15">
        <f t="shared" si="15"/>
        <v>40555.573577597672</v>
      </c>
      <c r="E199" s="15">
        <f>IF($A199="","",IF($C199="Draw",'HELOC Calculator'!$B$7,0))</f>
        <v>0</v>
      </c>
      <c r="F199" s="15">
        <f>IF($A199="","",$D199*('HELOC Calculator'!$B$8/12))</f>
        <v>287.2686461746502</v>
      </c>
      <c r="G199" s="15">
        <f>IF($A199="","",IF($C199="Draw",$F199,'HELOC Calculator'!$B$18))</f>
        <v>362.35218755795904</v>
      </c>
      <c r="H199" s="15">
        <f t="shared" si="12"/>
        <v>75.083541383308841</v>
      </c>
      <c r="I199" s="15">
        <f t="shared" si="13"/>
        <v>40480.49003621436</v>
      </c>
    </row>
    <row r="200" spans="1:9" ht="15" customHeight="1" x14ac:dyDescent="0.3">
      <c r="A200" s="13">
        <f>IF(199&lt;='HELOC Calculator'!$B$16,199,"")</f>
        <v>199</v>
      </c>
      <c r="B200" s="14">
        <f t="shared" si="14"/>
        <v>52232</v>
      </c>
      <c r="C200" s="13" t="str">
        <f>IF($A200="","",IF($A200&lt;='HELOC Calculator'!$B$14,"Draw","Repayment"))</f>
        <v>Repayment</v>
      </c>
      <c r="D200" s="15">
        <f t="shared" si="15"/>
        <v>40480.49003621436</v>
      </c>
      <c r="E200" s="15">
        <f>IF($A200="","",IF($C200="Draw",'HELOC Calculator'!$B$7,0))</f>
        <v>0</v>
      </c>
      <c r="F200" s="15">
        <f>IF($A200="","",$D200*('HELOC Calculator'!$B$8/12))</f>
        <v>286.73680442318505</v>
      </c>
      <c r="G200" s="15">
        <f>IF($A200="","",IF($C200="Draw",$F200,'HELOC Calculator'!$B$18))</f>
        <v>362.35218755795904</v>
      </c>
      <c r="H200" s="15">
        <f t="shared" si="12"/>
        <v>75.615383134773992</v>
      </c>
      <c r="I200" s="15">
        <f t="shared" si="13"/>
        <v>40404.874653079583</v>
      </c>
    </row>
    <row r="201" spans="1:9" ht="15" customHeight="1" x14ac:dyDescent="0.3">
      <c r="A201" s="13">
        <f>IF(200&lt;='HELOC Calculator'!$B$16,200,"")</f>
        <v>200</v>
      </c>
      <c r="B201" s="14">
        <f t="shared" si="14"/>
        <v>52263</v>
      </c>
      <c r="C201" s="13" t="str">
        <f>IF($A201="","",IF($A201&lt;='HELOC Calculator'!$B$14,"Draw","Repayment"))</f>
        <v>Repayment</v>
      </c>
      <c r="D201" s="15">
        <f t="shared" si="15"/>
        <v>40404.874653079583</v>
      </c>
      <c r="E201" s="15">
        <f>IF($A201="","",IF($C201="Draw",'HELOC Calculator'!$B$7,0))</f>
        <v>0</v>
      </c>
      <c r="F201" s="15">
        <f>IF($A201="","",$D201*('HELOC Calculator'!$B$8/12))</f>
        <v>286.20119545931374</v>
      </c>
      <c r="G201" s="15">
        <f>IF($A201="","",IF($C201="Draw",$F201,'HELOC Calculator'!$B$18))</f>
        <v>362.35218755795904</v>
      </c>
      <c r="H201" s="15">
        <f t="shared" si="12"/>
        <v>76.150992098645304</v>
      </c>
      <c r="I201" s="15">
        <f t="shared" si="13"/>
        <v>40328.723660980941</v>
      </c>
    </row>
    <row r="202" spans="1:9" ht="15" customHeight="1" x14ac:dyDescent="0.3">
      <c r="A202" s="13">
        <f>IF(201&lt;='HELOC Calculator'!$B$16,201,"")</f>
        <v>201</v>
      </c>
      <c r="B202" s="14">
        <f t="shared" si="14"/>
        <v>52291</v>
      </c>
      <c r="C202" s="13" t="str">
        <f>IF($A202="","",IF($A202&lt;='HELOC Calculator'!$B$14,"Draw","Repayment"))</f>
        <v>Repayment</v>
      </c>
      <c r="D202" s="15">
        <f t="shared" si="15"/>
        <v>40328.723660980941</v>
      </c>
      <c r="E202" s="15">
        <f>IF($A202="","",IF($C202="Draw",'HELOC Calculator'!$B$7,0))</f>
        <v>0</v>
      </c>
      <c r="F202" s="15">
        <f>IF($A202="","",$D202*('HELOC Calculator'!$B$8/12))</f>
        <v>285.66179259861502</v>
      </c>
      <c r="G202" s="15">
        <f>IF($A202="","",IF($C202="Draw",$F202,'HELOC Calculator'!$B$18))</f>
        <v>362.35218755795904</v>
      </c>
      <c r="H202" s="15">
        <f t="shared" si="12"/>
        <v>76.690394959344019</v>
      </c>
      <c r="I202" s="15">
        <f t="shared" si="13"/>
        <v>40252.033266021594</v>
      </c>
    </row>
    <row r="203" spans="1:9" ht="15" customHeight="1" x14ac:dyDescent="0.3">
      <c r="A203" s="13">
        <f>IF(202&lt;='HELOC Calculator'!$B$16,202,"")</f>
        <v>202</v>
      </c>
      <c r="B203" s="14">
        <f t="shared" si="14"/>
        <v>52322</v>
      </c>
      <c r="C203" s="13" t="str">
        <f>IF($A203="","",IF($A203&lt;='HELOC Calculator'!$B$14,"Draw","Repayment"))</f>
        <v>Repayment</v>
      </c>
      <c r="D203" s="15">
        <f t="shared" si="15"/>
        <v>40252.033266021594</v>
      </c>
      <c r="E203" s="15">
        <f>IF($A203="","",IF($C203="Draw",'HELOC Calculator'!$B$7,0))</f>
        <v>0</v>
      </c>
      <c r="F203" s="15">
        <f>IF($A203="","",$D203*('HELOC Calculator'!$B$8/12))</f>
        <v>285.11856896765295</v>
      </c>
      <c r="G203" s="15">
        <f>IF($A203="","",IF($C203="Draw",$F203,'HELOC Calculator'!$B$18))</f>
        <v>362.35218755795904</v>
      </c>
      <c r="H203" s="15">
        <f t="shared" si="12"/>
        <v>77.233618590306094</v>
      </c>
      <c r="I203" s="15">
        <f t="shared" si="13"/>
        <v>40174.799647431289</v>
      </c>
    </row>
    <row r="204" spans="1:9" ht="15" customHeight="1" x14ac:dyDescent="0.3">
      <c r="A204" s="13">
        <f>IF(203&lt;='HELOC Calculator'!$B$16,203,"")</f>
        <v>203</v>
      </c>
      <c r="B204" s="14">
        <f t="shared" si="14"/>
        <v>52352</v>
      </c>
      <c r="C204" s="13" t="str">
        <f>IF($A204="","",IF($A204&lt;='HELOC Calculator'!$B$14,"Draw","Repayment"))</f>
        <v>Repayment</v>
      </c>
      <c r="D204" s="15">
        <f t="shared" si="15"/>
        <v>40174.799647431289</v>
      </c>
      <c r="E204" s="15">
        <f>IF($A204="","",IF($C204="Draw",'HELOC Calculator'!$B$7,0))</f>
        <v>0</v>
      </c>
      <c r="F204" s="15">
        <f>IF($A204="","",$D204*('HELOC Calculator'!$B$8/12))</f>
        <v>284.57149750263829</v>
      </c>
      <c r="G204" s="15">
        <f>IF($A204="","",IF($C204="Draw",$F204,'HELOC Calculator'!$B$18))</f>
        <v>362.35218755795904</v>
      </c>
      <c r="H204" s="15">
        <f t="shared" si="12"/>
        <v>77.780690055320747</v>
      </c>
      <c r="I204" s="15">
        <f t="shared" si="13"/>
        <v>40097.018957375971</v>
      </c>
    </row>
    <row r="205" spans="1:9" ht="15" customHeight="1" x14ac:dyDescent="0.3">
      <c r="A205" s="13">
        <f>IF(204&lt;='HELOC Calculator'!$B$16,204,"")</f>
        <v>204</v>
      </c>
      <c r="B205" s="14">
        <f t="shared" si="14"/>
        <v>52383</v>
      </c>
      <c r="C205" s="13" t="str">
        <f>IF($A205="","",IF($A205&lt;='HELOC Calculator'!$B$14,"Draw","Repayment"))</f>
        <v>Repayment</v>
      </c>
      <c r="D205" s="15">
        <f t="shared" si="15"/>
        <v>40097.018957375971</v>
      </c>
      <c r="E205" s="15">
        <f>IF($A205="","",IF($C205="Draw",'HELOC Calculator'!$B$7,0))</f>
        <v>0</v>
      </c>
      <c r="F205" s="15">
        <f>IF($A205="","",$D205*('HELOC Calculator'!$B$8/12))</f>
        <v>284.0205509480798</v>
      </c>
      <c r="G205" s="15">
        <f>IF($A205="","",IF($C205="Draw",$F205,'HELOC Calculator'!$B$18))</f>
        <v>362.35218755795904</v>
      </c>
      <c r="H205" s="15">
        <f t="shared" si="12"/>
        <v>78.33163660987924</v>
      </c>
      <c r="I205" s="15">
        <f t="shared" si="13"/>
        <v>40018.68732076609</v>
      </c>
    </row>
    <row r="206" spans="1:9" ht="15" customHeight="1" x14ac:dyDescent="0.3">
      <c r="A206" s="13">
        <f>IF(205&lt;='HELOC Calculator'!$B$16,205,"")</f>
        <v>205</v>
      </c>
      <c r="B206" s="14">
        <f t="shared" si="14"/>
        <v>52413</v>
      </c>
      <c r="C206" s="13" t="str">
        <f>IF($A206="","",IF($A206&lt;='HELOC Calculator'!$B$14,"Draw","Repayment"))</f>
        <v>Repayment</v>
      </c>
      <c r="D206" s="15">
        <f t="shared" si="15"/>
        <v>40018.68732076609</v>
      </c>
      <c r="E206" s="15">
        <f>IF($A206="","",IF($C206="Draw",'HELOC Calculator'!$B$7,0))</f>
        <v>0</v>
      </c>
      <c r="F206" s="15">
        <f>IF($A206="","",$D206*('HELOC Calculator'!$B$8/12))</f>
        <v>283.46570185542652</v>
      </c>
      <c r="G206" s="15">
        <f>IF($A206="","",IF($C206="Draw",$F206,'HELOC Calculator'!$B$18))</f>
        <v>362.35218755795904</v>
      </c>
      <c r="H206" s="15">
        <f t="shared" si="12"/>
        <v>78.886485702532525</v>
      </c>
      <c r="I206" s="15">
        <f t="shared" si="13"/>
        <v>39939.800835063557</v>
      </c>
    </row>
    <row r="207" spans="1:9" ht="15" customHeight="1" x14ac:dyDescent="0.3">
      <c r="A207" s="13">
        <f>IF(206&lt;='HELOC Calculator'!$B$16,206,"")</f>
        <v>206</v>
      </c>
      <c r="B207" s="14">
        <f t="shared" si="14"/>
        <v>52444</v>
      </c>
      <c r="C207" s="13" t="str">
        <f>IF($A207="","",IF($A207&lt;='HELOC Calculator'!$B$14,"Draw","Repayment"))</f>
        <v>Repayment</v>
      </c>
      <c r="D207" s="15">
        <f t="shared" si="15"/>
        <v>39939.800835063557</v>
      </c>
      <c r="E207" s="15">
        <f>IF($A207="","",IF($C207="Draw",'HELOC Calculator'!$B$7,0))</f>
        <v>0</v>
      </c>
      <c r="F207" s="15">
        <f>IF($A207="","",$D207*('HELOC Calculator'!$B$8/12))</f>
        <v>282.9069225817002</v>
      </c>
      <c r="G207" s="15">
        <f>IF($A207="","",IF($C207="Draw",$F207,'HELOC Calculator'!$B$18))</f>
        <v>362.35218755795904</v>
      </c>
      <c r="H207" s="15">
        <f t="shared" si="12"/>
        <v>79.445264976258841</v>
      </c>
      <c r="I207" s="15">
        <f t="shared" si="13"/>
        <v>39860.355570087297</v>
      </c>
    </row>
    <row r="208" spans="1:9" ht="15" customHeight="1" x14ac:dyDescent="0.3">
      <c r="A208" s="13">
        <f>IF(207&lt;='HELOC Calculator'!$B$16,207,"")</f>
        <v>207</v>
      </c>
      <c r="B208" s="14">
        <f t="shared" si="14"/>
        <v>52475</v>
      </c>
      <c r="C208" s="13" t="str">
        <f>IF($A208="","",IF($A208&lt;='HELOC Calculator'!$B$14,"Draw","Repayment"))</f>
        <v>Repayment</v>
      </c>
      <c r="D208" s="15">
        <f t="shared" si="15"/>
        <v>39860.355570087297</v>
      </c>
      <c r="E208" s="15">
        <f>IF($A208="","",IF($C208="Draw",'HELOC Calculator'!$B$7,0))</f>
        <v>0</v>
      </c>
      <c r="F208" s="15">
        <f>IF($A208="","",$D208*('HELOC Calculator'!$B$8/12))</f>
        <v>282.34418528811835</v>
      </c>
      <c r="G208" s="15">
        <f>IF($A208="","",IF($C208="Draw",$F208,'HELOC Calculator'!$B$18))</f>
        <v>362.35218755795904</v>
      </c>
      <c r="H208" s="15">
        <f t="shared" si="12"/>
        <v>80.008002269840688</v>
      </c>
      <c r="I208" s="15">
        <f t="shared" si="13"/>
        <v>39780.347567817458</v>
      </c>
    </row>
    <row r="209" spans="1:9" ht="15" customHeight="1" x14ac:dyDescent="0.3">
      <c r="A209" s="13">
        <f>IF(208&lt;='HELOC Calculator'!$B$16,208,"")</f>
        <v>208</v>
      </c>
      <c r="B209" s="14">
        <f t="shared" si="14"/>
        <v>52505</v>
      </c>
      <c r="C209" s="13" t="str">
        <f>IF($A209="","",IF($A209&lt;='HELOC Calculator'!$B$14,"Draw","Repayment"))</f>
        <v>Repayment</v>
      </c>
      <c r="D209" s="15">
        <f t="shared" si="15"/>
        <v>39780.347567817458</v>
      </c>
      <c r="E209" s="15">
        <f>IF($A209="","",IF($C209="Draw",'HELOC Calculator'!$B$7,0))</f>
        <v>0</v>
      </c>
      <c r="F209" s="15">
        <f>IF($A209="","",$D209*('HELOC Calculator'!$B$8/12))</f>
        <v>281.77746193870701</v>
      </c>
      <c r="G209" s="15">
        <f>IF($A209="","",IF($C209="Draw",$F209,'HELOC Calculator'!$B$18))</f>
        <v>362.35218755795904</v>
      </c>
      <c r="H209" s="15">
        <f t="shared" si="12"/>
        <v>80.574725619252035</v>
      </c>
      <c r="I209" s="15">
        <f t="shared" si="13"/>
        <v>39699.772842198203</v>
      </c>
    </row>
    <row r="210" spans="1:9" ht="15" customHeight="1" x14ac:dyDescent="0.3">
      <c r="A210" s="13">
        <f>IF(209&lt;='HELOC Calculator'!$B$16,209,"")</f>
        <v>209</v>
      </c>
      <c r="B210" s="14">
        <f t="shared" si="14"/>
        <v>52536</v>
      </c>
      <c r="C210" s="13" t="str">
        <f>IF($A210="","",IF($A210&lt;='HELOC Calculator'!$B$14,"Draw","Repayment"))</f>
        <v>Repayment</v>
      </c>
      <c r="D210" s="15">
        <f t="shared" si="15"/>
        <v>39699.772842198203</v>
      </c>
      <c r="E210" s="15">
        <f>IF($A210="","",IF($C210="Draw",'HELOC Calculator'!$B$7,0))</f>
        <v>0</v>
      </c>
      <c r="F210" s="15">
        <f>IF($A210="","",$D210*('HELOC Calculator'!$B$8/12))</f>
        <v>281.20672429890396</v>
      </c>
      <c r="G210" s="15">
        <f>IF($A210="","",IF($C210="Draw",$F210,'HELOC Calculator'!$B$18))</f>
        <v>362.35218755795904</v>
      </c>
      <c r="H210" s="15">
        <f t="shared" si="12"/>
        <v>81.145463259055077</v>
      </c>
      <c r="I210" s="15">
        <f t="shared" si="13"/>
        <v>39618.627378939149</v>
      </c>
    </row>
    <row r="211" spans="1:9" ht="15" customHeight="1" x14ac:dyDescent="0.3">
      <c r="A211" s="13">
        <f>IF(210&lt;='HELOC Calculator'!$B$16,210,"")</f>
        <v>210</v>
      </c>
      <c r="B211" s="14">
        <f t="shared" si="14"/>
        <v>52566</v>
      </c>
      <c r="C211" s="13" t="str">
        <f>IF($A211="","",IF($A211&lt;='HELOC Calculator'!$B$14,"Draw","Repayment"))</f>
        <v>Repayment</v>
      </c>
      <c r="D211" s="15">
        <f t="shared" si="15"/>
        <v>39618.627378939149</v>
      </c>
      <c r="E211" s="15">
        <f>IF($A211="","",IF($C211="Draw",'HELOC Calculator'!$B$7,0))</f>
        <v>0</v>
      </c>
      <c r="F211" s="15">
        <f>IF($A211="","",$D211*('HELOC Calculator'!$B$8/12))</f>
        <v>280.63194393415233</v>
      </c>
      <c r="G211" s="15">
        <f>IF($A211="","",IF($C211="Draw",$F211,'HELOC Calculator'!$B$18))</f>
        <v>362.35218755795904</v>
      </c>
      <c r="H211" s="15">
        <f t="shared" si="12"/>
        <v>81.720243623806709</v>
      </c>
      <c r="I211" s="15">
        <f t="shared" si="13"/>
        <v>39536.907135315341</v>
      </c>
    </row>
    <row r="212" spans="1:9" ht="15" customHeight="1" x14ac:dyDescent="0.3">
      <c r="A212" s="13">
        <f>IF(211&lt;='HELOC Calculator'!$B$16,211,"")</f>
        <v>211</v>
      </c>
      <c r="B212" s="14">
        <f t="shared" si="14"/>
        <v>52597</v>
      </c>
      <c r="C212" s="13" t="str">
        <f>IF($A212="","",IF($A212&lt;='HELOC Calculator'!$B$14,"Draw","Repayment"))</f>
        <v>Repayment</v>
      </c>
      <c r="D212" s="15">
        <f t="shared" si="15"/>
        <v>39536.907135315341</v>
      </c>
      <c r="E212" s="15">
        <f>IF($A212="","",IF($C212="Draw",'HELOC Calculator'!$B$7,0))</f>
        <v>0</v>
      </c>
      <c r="F212" s="15">
        <f>IF($A212="","",$D212*('HELOC Calculator'!$B$8/12))</f>
        <v>280.05309220848369</v>
      </c>
      <c r="G212" s="15">
        <f>IF($A212="","",IF($C212="Draw",$F212,'HELOC Calculator'!$B$18))</f>
        <v>362.35218755795904</v>
      </c>
      <c r="H212" s="15">
        <f t="shared" si="12"/>
        <v>82.299095349475351</v>
      </c>
      <c r="I212" s="15">
        <f t="shared" si="13"/>
        <v>39454.608039965868</v>
      </c>
    </row>
    <row r="213" spans="1:9" ht="15" customHeight="1" x14ac:dyDescent="0.3">
      <c r="A213" s="13">
        <f>IF(212&lt;='HELOC Calculator'!$B$16,212,"")</f>
        <v>212</v>
      </c>
      <c r="B213" s="14">
        <f t="shared" si="14"/>
        <v>52628</v>
      </c>
      <c r="C213" s="13" t="str">
        <f>IF($A213="","",IF($A213&lt;='HELOC Calculator'!$B$14,"Draw","Repayment"))</f>
        <v>Repayment</v>
      </c>
      <c r="D213" s="15">
        <f t="shared" si="15"/>
        <v>39454.608039965868</v>
      </c>
      <c r="E213" s="15">
        <f>IF($A213="","",IF($C213="Draw",'HELOC Calculator'!$B$7,0))</f>
        <v>0</v>
      </c>
      <c r="F213" s="15">
        <f>IF($A213="","",$D213*('HELOC Calculator'!$B$8/12))</f>
        <v>279.47014028309161</v>
      </c>
      <c r="G213" s="15">
        <f>IF($A213="","",IF($C213="Draw",$F213,'HELOC Calculator'!$B$18))</f>
        <v>362.35218755795904</v>
      </c>
      <c r="H213" s="15">
        <f t="shared" si="12"/>
        <v>82.882047274867432</v>
      </c>
      <c r="I213" s="15">
        <f t="shared" si="13"/>
        <v>39371.725992690997</v>
      </c>
    </row>
    <row r="214" spans="1:9" ht="15" customHeight="1" x14ac:dyDescent="0.3">
      <c r="A214" s="13">
        <f>IF(213&lt;='HELOC Calculator'!$B$16,213,"")</f>
        <v>213</v>
      </c>
      <c r="B214" s="14">
        <f t="shared" si="14"/>
        <v>52657</v>
      </c>
      <c r="C214" s="13" t="str">
        <f>IF($A214="","",IF($A214&lt;='HELOC Calculator'!$B$14,"Draw","Repayment"))</f>
        <v>Repayment</v>
      </c>
      <c r="D214" s="15">
        <f t="shared" si="15"/>
        <v>39371.725992690997</v>
      </c>
      <c r="E214" s="15">
        <f>IF($A214="","",IF($C214="Draw",'HELOC Calculator'!$B$7,0))</f>
        <v>0</v>
      </c>
      <c r="F214" s="15">
        <f>IF($A214="","",$D214*('HELOC Calculator'!$B$8/12))</f>
        <v>278.88305911489459</v>
      </c>
      <c r="G214" s="15">
        <f>IF($A214="","",IF($C214="Draw",$F214,'HELOC Calculator'!$B$18))</f>
        <v>362.35218755795904</v>
      </c>
      <c r="H214" s="15">
        <f t="shared" si="12"/>
        <v>83.469128443064449</v>
      </c>
      <c r="I214" s="15">
        <f t="shared" si="13"/>
        <v>39288.256864247931</v>
      </c>
    </row>
    <row r="215" spans="1:9" ht="15" customHeight="1" x14ac:dyDescent="0.3">
      <c r="A215" s="13">
        <f>IF(214&lt;='HELOC Calculator'!$B$16,214,"")</f>
        <v>214</v>
      </c>
      <c r="B215" s="14">
        <f t="shared" si="14"/>
        <v>52688</v>
      </c>
      <c r="C215" s="13" t="str">
        <f>IF($A215="","",IF($A215&lt;='HELOC Calculator'!$B$14,"Draw","Repayment"))</f>
        <v>Repayment</v>
      </c>
      <c r="D215" s="15">
        <f t="shared" si="15"/>
        <v>39288.256864247931</v>
      </c>
      <c r="E215" s="15">
        <f>IF($A215="","",IF($C215="Draw",'HELOC Calculator'!$B$7,0))</f>
        <v>0</v>
      </c>
      <c r="F215" s="15">
        <f>IF($A215="","",$D215*('HELOC Calculator'!$B$8/12))</f>
        <v>278.29181945508952</v>
      </c>
      <c r="G215" s="15">
        <f>IF($A215="","",IF($C215="Draw",$F215,'HELOC Calculator'!$B$18))</f>
        <v>362.35218755795904</v>
      </c>
      <c r="H215" s="15">
        <f t="shared" si="12"/>
        <v>84.060368102869518</v>
      </c>
      <c r="I215" s="15">
        <f t="shared" si="13"/>
        <v>39204.196496145065</v>
      </c>
    </row>
    <row r="216" spans="1:9" ht="15" customHeight="1" x14ac:dyDescent="0.3">
      <c r="A216" s="13">
        <f>IF(215&lt;='HELOC Calculator'!$B$16,215,"")</f>
        <v>215</v>
      </c>
      <c r="B216" s="14">
        <f t="shared" si="14"/>
        <v>52718</v>
      </c>
      <c r="C216" s="13" t="str">
        <f>IF($A216="","",IF($A216&lt;='HELOC Calculator'!$B$14,"Draw","Repayment"))</f>
        <v>Repayment</v>
      </c>
      <c r="D216" s="15">
        <f t="shared" si="15"/>
        <v>39204.196496145065</v>
      </c>
      <c r="E216" s="15">
        <f>IF($A216="","",IF($C216="Draw",'HELOC Calculator'!$B$7,0))</f>
        <v>0</v>
      </c>
      <c r="F216" s="15">
        <f>IF($A216="","",$D216*('HELOC Calculator'!$B$8/12))</f>
        <v>277.6963918476942</v>
      </c>
      <c r="G216" s="15">
        <f>IF($A216="","",IF($C216="Draw",$F216,'HELOC Calculator'!$B$18))</f>
        <v>362.35218755795904</v>
      </c>
      <c r="H216" s="15">
        <f t="shared" si="12"/>
        <v>84.65579571026484</v>
      </c>
      <c r="I216" s="15">
        <f t="shared" si="13"/>
        <v>39119.540700434802</v>
      </c>
    </row>
    <row r="217" spans="1:9" ht="15" customHeight="1" x14ac:dyDescent="0.3">
      <c r="A217" s="13">
        <f>IF(216&lt;='HELOC Calculator'!$B$16,216,"")</f>
        <v>216</v>
      </c>
      <c r="B217" s="14">
        <f t="shared" si="14"/>
        <v>52749</v>
      </c>
      <c r="C217" s="13" t="str">
        <f>IF($A217="","",IF($A217&lt;='HELOC Calculator'!$B$14,"Draw","Repayment"))</f>
        <v>Repayment</v>
      </c>
      <c r="D217" s="15">
        <f t="shared" si="15"/>
        <v>39119.540700434802</v>
      </c>
      <c r="E217" s="15">
        <f>IF($A217="","",IF($C217="Draw",'HELOC Calculator'!$B$7,0))</f>
        <v>0</v>
      </c>
      <c r="F217" s="15">
        <f>IF($A217="","",$D217*('HELOC Calculator'!$B$8/12))</f>
        <v>277.09674662807987</v>
      </c>
      <c r="G217" s="15">
        <f>IF($A217="","",IF($C217="Draw",$F217,'HELOC Calculator'!$B$18))</f>
        <v>362.35218755795904</v>
      </c>
      <c r="H217" s="15">
        <f t="shared" si="12"/>
        <v>85.255440929879171</v>
      </c>
      <c r="I217" s="15">
        <f t="shared" si="13"/>
        <v>39034.285259504919</v>
      </c>
    </row>
    <row r="218" spans="1:9" ht="15" customHeight="1" x14ac:dyDescent="0.3">
      <c r="A218" s="13">
        <f>IF(217&lt;='HELOC Calculator'!$B$16,217,"")</f>
        <v>217</v>
      </c>
      <c r="B218" s="14">
        <f t="shared" si="14"/>
        <v>52779</v>
      </c>
      <c r="C218" s="13" t="str">
        <f>IF($A218="","",IF($A218&lt;='HELOC Calculator'!$B$14,"Draw","Repayment"))</f>
        <v>Repayment</v>
      </c>
      <c r="D218" s="15">
        <f t="shared" si="15"/>
        <v>39034.285259504919</v>
      </c>
      <c r="E218" s="15">
        <f>IF($A218="","",IF($C218="Draw",'HELOC Calculator'!$B$7,0))</f>
        <v>0</v>
      </c>
      <c r="F218" s="15">
        <f>IF($A218="","",$D218*('HELOC Calculator'!$B$8/12))</f>
        <v>276.49285392149318</v>
      </c>
      <c r="G218" s="15">
        <f>IF($A218="","",IF($C218="Draw",$F218,'HELOC Calculator'!$B$18))</f>
        <v>362.35218755795904</v>
      </c>
      <c r="H218" s="15">
        <f t="shared" si="12"/>
        <v>85.859333636465863</v>
      </c>
      <c r="I218" s="15">
        <f t="shared" si="13"/>
        <v>38948.425925868454</v>
      </c>
    </row>
    <row r="219" spans="1:9" ht="15" customHeight="1" x14ac:dyDescent="0.3">
      <c r="A219" s="13">
        <f>IF(218&lt;='HELOC Calculator'!$B$16,218,"")</f>
        <v>218</v>
      </c>
      <c r="B219" s="14">
        <f t="shared" si="14"/>
        <v>52810</v>
      </c>
      <c r="C219" s="13" t="str">
        <f>IF($A219="","",IF($A219&lt;='HELOC Calculator'!$B$14,"Draw","Repayment"))</f>
        <v>Repayment</v>
      </c>
      <c r="D219" s="15">
        <f t="shared" si="15"/>
        <v>38948.425925868454</v>
      </c>
      <c r="E219" s="15">
        <f>IF($A219="","",IF($C219="Draw",'HELOC Calculator'!$B$7,0))</f>
        <v>0</v>
      </c>
      <c r="F219" s="15">
        <f>IF($A219="","",$D219*('HELOC Calculator'!$B$8/12))</f>
        <v>275.88468364156824</v>
      </c>
      <c r="G219" s="15">
        <f>IF($A219="","",IF($C219="Draw",$F219,'HELOC Calculator'!$B$18))</f>
        <v>362.35218755795904</v>
      </c>
      <c r="H219" s="15">
        <f t="shared" si="12"/>
        <v>86.467503916390797</v>
      </c>
      <c r="I219" s="15">
        <f t="shared" si="13"/>
        <v>38861.958421952062</v>
      </c>
    </row>
    <row r="220" spans="1:9" ht="15" customHeight="1" x14ac:dyDescent="0.3">
      <c r="A220" s="13">
        <f>IF(219&lt;='HELOC Calculator'!$B$16,219,"")</f>
        <v>219</v>
      </c>
      <c r="B220" s="14">
        <f t="shared" si="14"/>
        <v>52841</v>
      </c>
      <c r="C220" s="13" t="str">
        <f>IF($A220="","",IF($A220&lt;='HELOC Calculator'!$B$14,"Draw","Repayment"))</f>
        <v>Repayment</v>
      </c>
      <c r="D220" s="15">
        <f t="shared" si="15"/>
        <v>38861.958421952062</v>
      </c>
      <c r="E220" s="15">
        <f>IF($A220="","",IF($C220="Draw",'HELOC Calculator'!$B$7,0))</f>
        <v>0</v>
      </c>
      <c r="F220" s="15">
        <f>IF($A220="","",$D220*('HELOC Calculator'!$B$8/12))</f>
        <v>275.27220548882713</v>
      </c>
      <c r="G220" s="15">
        <f>IF($A220="","",IF($C220="Draw",$F220,'HELOC Calculator'!$B$18))</f>
        <v>362.35218755795904</v>
      </c>
      <c r="H220" s="15">
        <f t="shared" si="12"/>
        <v>87.079982069131916</v>
      </c>
      <c r="I220" s="15">
        <f t="shared" si="13"/>
        <v>38774.87843988293</v>
      </c>
    </row>
    <row r="221" spans="1:9" ht="15" customHeight="1" x14ac:dyDescent="0.3">
      <c r="A221" s="13">
        <f>IF(220&lt;='HELOC Calculator'!$B$16,220,"")</f>
        <v>220</v>
      </c>
      <c r="B221" s="14">
        <f t="shared" si="14"/>
        <v>52871</v>
      </c>
      <c r="C221" s="13" t="str">
        <f>IF($A221="","",IF($A221&lt;='HELOC Calculator'!$B$14,"Draw","Repayment"))</f>
        <v>Repayment</v>
      </c>
      <c r="D221" s="15">
        <f t="shared" si="15"/>
        <v>38774.87843988293</v>
      </c>
      <c r="E221" s="15">
        <f>IF($A221="","",IF($C221="Draw",'HELOC Calculator'!$B$7,0))</f>
        <v>0</v>
      </c>
      <c r="F221" s="15">
        <f>IF($A221="","",$D221*('HELOC Calculator'!$B$8/12))</f>
        <v>274.6553889491708</v>
      </c>
      <c r="G221" s="15">
        <f>IF($A221="","",IF($C221="Draw",$F221,'HELOC Calculator'!$B$18))</f>
        <v>362.35218755795904</v>
      </c>
      <c r="H221" s="15">
        <f t="shared" si="12"/>
        <v>87.696798608788242</v>
      </c>
      <c r="I221" s="15">
        <f t="shared" si="13"/>
        <v>38687.181641274139</v>
      </c>
    </row>
    <row r="222" spans="1:9" ht="15" customHeight="1" x14ac:dyDescent="0.3">
      <c r="A222" s="13">
        <f>IF(221&lt;='HELOC Calculator'!$B$16,221,"")</f>
        <v>221</v>
      </c>
      <c r="B222" s="14">
        <f t="shared" si="14"/>
        <v>52902</v>
      </c>
      <c r="C222" s="13" t="str">
        <f>IF($A222="","",IF($A222&lt;='HELOC Calculator'!$B$14,"Draw","Repayment"))</f>
        <v>Repayment</v>
      </c>
      <c r="D222" s="15">
        <f t="shared" si="15"/>
        <v>38687.181641274139</v>
      </c>
      <c r="E222" s="15">
        <f>IF($A222="","",IF($C222="Draw",'HELOC Calculator'!$B$7,0))</f>
        <v>0</v>
      </c>
      <c r="F222" s="15">
        <f>IF($A222="","",$D222*('HELOC Calculator'!$B$8/12))</f>
        <v>274.03420329235848</v>
      </c>
      <c r="G222" s="15">
        <f>IF($A222="","",IF($C222="Draw",$F222,'HELOC Calculator'!$B$18))</f>
        <v>362.35218755795904</v>
      </c>
      <c r="H222" s="15">
        <f t="shared" si="12"/>
        <v>88.317984265600558</v>
      </c>
      <c r="I222" s="15">
        <f t="shared" si="13"/>
        <v>38598.863657008536</v>
      </c>
    </row>
    <row r="223" spans="1:9" ht="15" customHeight="1" x14ac:dyDescent="0.3">
      <c r="A223" s="13">
        <f>IF(222&lt;='HELOC Calculator'!$B$16,222,"")</f>
        <v>222</v>
      </c>
      <c r="B223" s="14">
        <f t="shared" si="14"/>
        <v>52932</v>
      </c>
      <c r="C223" s="13" t="str">
        <f>IF($A223="","",IF($A223&lt;='HELOC Calculator'!$B$14,"Draw","Repayment"))</f>
        <v>Repayment</v>
      </c>
      <c r="D223" s="15">
        <f t="shared" si="15"/>
        <v>38598.863657008536</v>
      </c>
      <c r="E223" s="15">
        <f>IF($A223="","",IF($C223="Draw",'HELOC Calculator'!$B$7,0))</f>
        <v>0</v>
      </c>
      <c r="F223" s="15">
        <f>IF($A223="","",$D223*('HELOC Calculator'!$B$8/12))</f>
        <v>273.40861757047713</v>
      </c>
      <c r="G223" s="15">
        <f>IF($A223="","",IF($C223="Draw",$F223,'HELOC Calculator'!$B$18))</f>
        <v>362.35218755795904</v>
      </c>
      <c r="H223" s="15">
        <f t="shared" si="12"/>
        <v>88.943569987481908</v>
      </c>
      <c r="I223" s="15">
        <f t="shared" si="13"/>
        <v>38509.920087021055</v>
      </c>
    </row>
    <row r="224" spans="1:9" ht="15" customHeight="1" x14ac:dyDescent="0.3">
      <c r="A224" s="13">
        <f>IF(223&lt;='HELOC Calculator'!$B$16,223,"")</f>
        <v>223</v>
      </c>
      <c r="B224" s="14">
        <f t="shared" si="14"/>
        <v>52963</v>
      </c>
      <c r="C224" s="13" t="str">
        <f>IF($A224="","",IF($A224&lt;='HELOC Calculator'!$B$14,"Draw","Repayment"))</f>
        <v>Repayment</v>
      </c>
      <c r="D224" s="15">
        <f t="shared" si="15"/>
        <v>38509.920087021055</v>
      </c>
      <c r="E224" s="15">
        <f>IF($A224="","",IF($C224="Draw",'HELOC Calculator'!$B$7,0))</f>
        <v>0</v>
      </c>
      <c r="F224" s="15">
        <f>IF($A224="","",$D224*('HELOC Calculator'!$B$8/12))</f>
        <v>272.77860061639916</v>
      </c>
      <c r="G224" s="15">
        <f>IF($A224="","",IF($C224="Draw",$F224,'HELOC Calculator'!$B$18))</f>
        <v>362.35218755795904</v>
      </c>
      <c r="H224" s="15">
        <f t="shared" si="12"/>
        <v>89.573586941559881</v>
      </c>
      <c r="I224" s="15">
        <f t="shared" si="13"/>
        <v>38420.346500079497</v>
      </c>
    </row>
    <row r="225" spans="1:9" ht="15" customHeight="1" x14ac:dyDescent="0.3">
      <c r="A225" s="13">
        <f>IF(224&lt;='HELOC Calculator'!$B$16,224,"")</f>
        <v>224</v>
      </c>
      <c r="B225" s="14">
        <f t="shared" si="14"/>
        <v>52994</v>
      </c>
      <c r="C225" s="13" t="str">
        <f>IF($A225="","",IF($A225&lt;='HELOC Calculator'!$B$14,"Draw","Repayment"))</f>
        <v>Repayment</v>
      </c>
      <c r="D225" s="15">
        <f t="shared" si="15"/>
        <v>38420.346500079497</v>
      </c>
      <c r="E225" s="15">
        <f>IF($A225="","",IF($C225="Draw",'HELOC Calculator'!$B$7,0))</f>
        <v>0</v>
      </c>
      <c r="F225" s="15">
        <f>IF($A225="","",$D225*('HELOC Calculator'!$B$8/12))</f>
        <v>272.14412104222981</v>
      </c>
      <c r="G225" s="15">
        <f>IF($A225="","",IF($C225="Draw",$F225,'HELOC Calculator'!$B$18))</f>
        <v>362.35218755795904</v>
      </c>
      <c r="H225" s="15">
        <f t="shared" si="12"/>
        <v>90.208066515729229</v>
      </c>
      <c r="I225" s="15">
        <f t="shared" si="13"/>
        <v>38330.13843356377</v>
      </c>
    </row>
    <row r="226" spans="1:9" ht="15" customHeight="1" x14ac:dyDescent="0.3">
      <c r="A226" s="13">
        <f>IF(225&lt;='HELOC Calculator'!$B$16,225,"")</f>
        <v>225</v>
      </c>
      <c r="B226" s="14">
        <f t="shared" si="14"/>
        <v>53022</v>
      </c>
      <c r="C226" s="13" t="str">
        <f>IF($A226="","",IF($A226&lt;='HELOC Calculator'!$B$14,"Draw","Repayment"))</f>
        <v>Repayment</v>
      </c>
      <c r="D226" s="15">
        <f t="shared" si="15"/>
        <v>38330.13843356377</v>
      </c>
      <c r="E226" s="15">
        <f>IF($A226="","",IF($C226="Draw",'HELOC Calculator'!$B$7,0))</f>
        <v>0</v>
      </c>
      <c r="F226" s="15">
        <f>IF($A226="","",$D226*('HELOC Calculator'!$B$8/12))</f>
        <v>271.50514723774342</v>
      </c>
      <c r="G226" s="15">
        <f>IF($A226="","",IF($C226="Draw",$F226,'HELOC Calculator'!$B$18))</f>
        <v>362.35218755795904</v>
      </c>
      <c r="H226" s="15">
        <f t="shared" si="12"/>
        <v>90.847040320215626</v>
      </c>
      <c r="I226" s="15">
        <f t="shared" si="13"/>
        <v>38239.291393243555</v>
      </c>
    </row>
    <row r="227" spans="1:9" ht="15" customHeight="1" x14ac:dyDescent="0.3">
      <c r="A227" s="13">
        <f>IF(226&lt;='HELOC Calculator'!$B$16,226,"")</f>
        <v>226</v>
      </c>
      <c r="B227" s="14">
        <f t="shared" si="14"/>
        <v>53053</v>
      </c>
      <c r="C227" s="13" t="str">
        <f>IF($A227="","",IF($A227&lt;='HELOC Calculator'!$B$14,"Draw","Repayment"))</f>
        <v>Repayment</v>
      </c>
      <c r="D227" s="15">
        <f t="shared" si="15"/>
        <v>38239.291393243555</v>
      </c>
      <c r="E227" s="15">
        <f>IF($A227="","",IF($C227="Draw",'HELOC Calculator'!$B$7,0))</f>
        <v>0</v>
      </c>
      <c r="F227" s="15">
        <f>IF($A227="","",$D227*('HELOC Calculator'!$B$8/12))</f>
        <v>270.86164736880852</v>
      </c>
      <c r="G227" s="15">
        <f>IF($A227="","",IF($C227="Draw",$F227,'HELOC Calculator'!$B$18))</f>
        <v>362.35218755795904</v>
      </c>
      <c r="H227" s="15">
        <f t="shared" si="12"/>
        <v>91.490540189150522</v>
      </c>
      <c r="I227" s="15">
        <f t="shared" si="13"/>
        <v>38147.800853054403</v>
      </c>
    </row>
    <row r="228" spans="1:9" ht="15" customHeight="1" x14ac:dyDescent="0.3">
      <c r="A228" s="13">
        <f>IF(227&lt;='HELOC Calculator'!$B$16,227,"")</f>
        <v>227</v>
      </c>
      <c r="B228" s="14">
        <f t="shared" si="14"/>
        <v>53083</v>
      </c>
      <c r="C228" s="13" t="str">
        <f>IF($A228="","",IF($A228&lt;='HELOC Calculator'!$B$14,"Draw","Repayment"))</f>
        <v>Repayment</v>
      </c>
      <c r="D228" s="15">
        <f t="shared" si="15"/>
        <v>38147.800853054403</v>
      </c>
      <c r="E228" s="15">
        <f>IF($A228="","",IF($C228="Draw",'HELOC Calculator'!$B$7,0))</f>
        <v>0</v>
      </c>
      <c r="F228" s="15">
        <f>IF($A228="","",$D228*('HELOC Calculator'!$B$8/12))</f>
        <v>270.21358937580203</v>
      </c>
      <c r="G228" s="15">
        <f>IF($A228="","",IF($C228="Draw",$F228,'HELOC Calculator'!$B$18))</f>
        <v>362.35218755795904</v>
      </c>
      <c r="H228" s="15">
        <f t="shared" si="12"/>
        <v>92.138598182157011</v>
      </c>
      <c r="I228" s="15">
        <f t="shared" si="13"/>
        <v>38055.662254872244</v>
      </c>
    </row>
    <row r="229" spans="1:9" ht="15" customHeight="1" x14ac:dyDescent="0.3">
      <c r="A229" s="13">
        <f>IF(228&lt;='HELOC Calculator'!$B$16,228,"")</f>
        <v>228</v>
      </c>
      <c r="B229" s="14">
        <f t="shared" si="14"/>
        <v>53114</v>
      </c>
      <c r="C229" s="13" t="str">
        <f>IF($A229="","",IF($A229&lt;='HELOC Calculator'!$B$14,"Draw","Repayment"))</f>
        <v>Repayment</v>
      </c>
      <c r="D229" s="15">
        <f t="shared" si="15"/>
        <v>38055.662254872244</v>
      </c>
      <c r="E229" s="15">
        <f>IF($A229="","",IF($C229="Draw",'HELOC Calculator'!$B$7,0))</f>
        <v>0</v>
      </c>
      <c r="F229" s="15">
        <f>IF($A229="","",$D229*('HELOC Calculator'!$B$8/12))</f>
        <v>269.56094097201174</v>
      </c>
      <c r="G229" s="15">
        <f>IF($A229="","",IF($C229="Draw",$F229,'HELOC Calculator'!$B$18))</f>
        <v>362.35218755795904</v>
      </c>
      <c r="H229" s="15">
        <f t="shared" si="12"/>
        <v>92.791246585947306</v>
      </c>
      <c r="I229" s="15">
        <f t="shared" si="13"/>
        <v>37962.871008286296</v>
      </c>
    </row>
    <row r="230" spans="1:9" ht="15" customHeight="1" x14ac:dyDescent="0.3">
      <c r="A230" s="13">
        <f>IF(229&lt;='HELOC Calculator'!$B$16,229,"")</f>
        <v>229</v>
      </c>
      <c r="B230" s="14">
        <f t="shared" si="14"/>
        <v>53144</v>
      </c>
      <c r="C230" s="13" t="str">
        <f>IF($A230="","",IF($A230&lt;='HELOC Calculator'!$B$14,"Draw","Repayment"))</f>
        <v>Repayment</v>
      </c>
      <c r="D230" s="15">
        <f t="shared" si="15"/>
        <v>37962.871008286296</v>
      </c>
      <c r="E230" s="15">
        <f>IF($A230="","",IF($C230="Draw",'HELOC Calculator'!$B$7,0))</f>
        <v>0</v>
      </c>
      <c r="F230" s="15">
        <f>IF($A230="","",$D230*('HELOC Calculator'!$B$8/12))</f>
        <v>268.90366964202798</v>
      </c>
      <c r="G230" s="15">
        <f>IF($A230="","",IF($C230="Draw",$F230,'HELOC Calculator'!$B$18))</f>
        <v>362.35218755795904</v>
      </c>
      <c r="H230" s="15">
        <f t="shared" si="12"/>
        <v>93.448517915931063</v>
      </c>
      <c r="I230" s="15">
        <f t="shared" si="13"/>
        <v>37869.422490370365</v>
      </c>
    </row>
    <row r="231" spans="1:9" ht="15" customHeight="1" x14ac:dyDescent="0.3">
      <c r="A231" s="13">
        <f>IF(230&lt;='HELOC Calculator'!$B$16,230,"")</f>
        <v>230</v>
      </c>
      <c r="B231" s="14">
        <f t="shared" si="14"/>
        <v>53175</v>
      </c>
      <c r="C231" s="13" t="str">
        <f>IF($A231="","",IF($A231&lt;='HELOC Calculator'!$B$14,"Draw","Repayment"))</f>
        <v>Repayment</v>
      </c>
      <c r="D231" s="15">
        <f t="shared" si="15"/>
        <v>37869.422490370365</v>
      </c>
      <c r="E231" s="15">
        <f>IF($A231="","",IF($C231="Draw",'HELOC Calculator'!$B$7,0))</f>
        <v>0</v>
      </c>
      <c r="F231" s="15">
        <f>IF($A231="","",$D231*('HELOC Calculator'!$B$8/12))</f>
        <v>268.24174264012345</v>
      </c>
      <c r="G231" s="15">
        <f>IF($A231="","",IF($C231="Draw",$F231,'HELOC Calculator'!$B$18))</f>
        <v>362.35218755795904</v>
      </c>
      <c r="H231" s="15">
        <f t="shared" si="12"/>
        <v>94.110444917835594</v>
      </c>
      <c r="I231" s="15">
        <f t="shared" si="13"/>
        <v>37775.312045452527</v>
      </c>
    </row>
    <row r="232" spans="1:9" ht="15" customHeight="1" x14ac:dyDescent="0.3">
      <c r="A232" s="13">
        <f>IF(231&lt;='HELOC Calculator'!$B$16,231,"")</f>
        <v>231</v>
      </c>
      <c r="B232" s="14">
        <f t="shared" si="14"/>
        <v>53206</v>
      </c>
      <c r="C232" s="13" t="str">
        <f>IF($A232="","",IF($A232&lt;='HELOC Calculator'!$B$14,"Draw","Repayment"))</f>
        <v>Repayment</v>
      </c>
      <c r="D232" s="15">
        <f t="shared" si="15"/>
        <v>37775.312045452527</v>
      </c>
      <c r="E232" s="15">
        <f>IF($A232="","",IF($C232="Draw",'HELOC Calculator'!$B$7,0))</f>
        <v>0</v>
      </c>
      <c r="F232" s="15">
        <f>IF($A232="","",$D232*('HELOC Calculator'!$B$8/12))</f>
        <v>267.57512698862206</v>
      </c>
      <c r="G232" s="15">
        <f>IF($A232="","",IF($C232="Draw",$F232,'HELOC Calculator'!$B$18))</f>
        <v>362.35218755795904</v>
      </c>
      <c r="H232" s="15">
        <f t="shared" si="12"/>
        <v>94.777060569336982</v>
      </c>
      <c r="I232" s="15">
        <f t="shared" si="13"/>
        <v>37680.53498488319</v>
      </c>
    </row>
    <row r="233" spans="1:9" ht="15" customHeight="1" x14ac:dyDescent="0.3">
      <c r="A233" s="13">
        <f>IF(232&lt;='HELOC Calculator'!$B$16,232,"")</f>
        <v>232</v>
      </c>
      <c r="B233" s="14">
        <f t="shared" si="14"/>
        <v>53236</v>
      </c>
      <c r="C233" s="13" t="str">
        <f>IF($A233="","",IF($A233&lt;='HELOC Calculator'!$B$14,"Draw","Repayment"))</f>
        <v>Repayment</v>
      </c>
      <c r="D233" s="15">
        <f t="shared" si="15"/>
        <v>37680.53498488319</v>
      </c>
      <c r="E233" s="15">
        <f>IF($A233="","",IF($C233="Draw",'HELOC Calculator'!$B$7,0))</f>
        <v>0</v>
      </c>
      <c r="F233" s="15">
        <f>IF($A233="","",$D233*('HELOC Calculator'!$B$8/12))</f>
        <v>266.90378947625595</v>
      </c>
      <c r="G233" s="15">
        <f>IF($A233="","",IF($C233="Draw",$F233,'HELOC Calculator'!$B$18))</f>
        <v>362.35218755795904</v>
      </c>
      <c r="H233" s="15">
        <f t="shared" si="12"/>
        <v>95.44839808170309</v>
      </c>
      <c r="I233" s="15">
        <f t="shared" si="13"/>
        <v>37585.086586801488</v>
      </c>
    </row>
    <row r="234" spans="1:9" ht="15" customHeight="1" x14ac:dyDescent="0.3">
      <c r="A234" s="13">
        <f>IF(233&lt;='HELOC Calculator'!$B$16,233,"")</f>
        <v>233</v>
      </c>
      <c r="B234" s="14">
        <f t="shared" si="14"/>
        <v>53267</v>
      </c>
      <c r="C234" s="13" t="str">
        <f>IF($A234="","",IF($A234&lt;='HELOC Calculator'!$B$14,"Draw","Repayment"))</f>
        <v>Repayment</v>
      </c>
      <c r="D234" s="15">
        <f t="shared" si="15"/>
        <v>37585.086586801488</v>
      </c>
      <c r="E234" s="15">
        <f>IF($A234="","",IF($C234="Draw",'HELOC Calculator'!$B$7,0))</f>
        <v>0</v>
      </c>
      <c r="F234" s="15">
        <f>IF($A234="","",$D234*('HELOC Calculator'!$B$8/12))</f>
        <v>266.22769665651055</v>
      </c>
      <c r="G234" s="15">
        <f>IF($A234="","",IF($C234="Draw",$F234,'HELOC Calculator'!$B$18))</f>
        <v>362.35218755795904</v>
      </c>
      <c r="H234" s="15">
        <f t="shared" si="12"/>
        <v>96.124490901448496</v>
      </c>
      <c r="I234" s="15">
        <f t="shared" si="13"/>
        <v>37488.962095900039</v>
      </c>
    </row>
    <row r="235" spans="1:9" ht="15" customHeight="1" x14ac:dyDescent="0.3">
      <c r="A235" s="13">
        <f>IF(234&lt;='HELOC Calculator'!$B$16,234,"")</f>
        <v>234</v>
      </c>
      <c r="B235" s="14">
        <f t="shared" si="14"/>
        <v>53297</v>
      </c>
      <c r="C235" s="13" t="str">
        <f>IF($A235="","",IF($A235&lt;='HELOC Calculator'!$B$14,"Draw","Repayment"))</f>
        <v>Repayment</v>
      </c>
      <c r="D235" s="15">
        <f t="shared" si="15"/>
        <v>37488.962095900039</v>
      </c>
      <c r="E235" s="15">
        <f>IF($A235="","",IF($C235="Draw",'HELOC Calculator'!$B$7,0))</f>
        <v>0</v>
      </c>
      <c r="F235" s="15">
        <f>IF($A235="","",$D235*('HELOC Calculator'!$B$8/12))</f>
        <v>265.54681484595864</v>
      </c>
      <c r="G235" s="15">
        <f>IF($A235="","",IF($C235="Draw",$F235,'HELOC Calculator'!$B$18))</f>
        <v>362.35218755795904</v>
      </c>
      <c r="H235" s="15">
        <f t="shared" si="12"/>
        <v>96.805372712000405</v>
      </c>
      <c r="I235" s="15">
        <f t="shared" si="13"/>
        <v>37392.15672318804</v>
      </c>
    </row>
    <row r="236" spans="1:9" ht="15" customHeight="1" x14ac:dyDescent="0.3">
      <c r="A236" s="13">
        <f>IF(235&lt;='HELOC Calculator'!$B$16,235,"")</f>
        <v>235</v>
      </c>
      <c r="B236" s="14">
        <f t="shared" si="14"/>
        <v>53328</v>
      </c>
      <c r="C236" s="13" t="str">
        <f>IF($A236="","",IF($A236&lt;='HELOC Calculator'!$B$14,"Draw","Repayment"))</f>
        <v>Repayment</v>
      </c>
      <c r="D236" s="15">
        <f t="shared" si="15"/>
        <v>37392.15672318804</v>
      </c>
      <c r="E236" s="15">
        <f>IF($A236="","",IF($C236="Draw",'HELOC Calculator'!$B$7,0))</f>
        <v>0</v>
      </c>
      <c r="F236" s="15">
        <f>IF($A236="","",$D236*('HELOC Calculator'!$B$8/12))</f>
        <v>264.86111012258198</v>
      </c>
      <c r="G236" s="15">
        <f>IF($A236="","",IF($C236="Draw",$F236,'HELOC Calculator'!$B$18))</f>
        <v>362.35218755795904</v>
      </c>
      <c r="H236" s="15">
        <f t="shared" si="12"/>
        <v>97.491077435377065</v>
      </c>
      <c r="I236" s="15">
        <f t="shared" si="13"/>
        <v>37294.665645752662</v>
      </c>
    </row>
    <row r="237" spans="1:9" ht="15" customHeight="1" x14ac:dyDescent="0.3">
      <c r="A237" s="13">
        <f>IF(236&lt;='HELOC Calculator'!$B$16,236,"")</f>
        <v>236</v>
      </c>
      <c r="B237" s="14">
        <f t="shared" si="14"/>
        <v>53359</v>
      </c>
      <c r="C237" s="13" t="str">
        <f>IF($A237="","",IF($A237&lt;='HELOC Calculator'!$B$14,"Draw","Repayment"))</f>
        <v>Repayment</v>
      </c>
      <c r="D237" s="15">
        <f t="shared" si="15"/>
        <v>37294.665645752662</v>
      </c>
      <c r="E237" s="15">
        <f>IF($A237="","",IF($C237="Draw",'HELOC Calculator'!$B$7,0))</f>
        <v>0</v>
      </c>
      <c r="F237" s="15">
        <f>IF($A237="","",$D237*('HELOC Calculator'!$B$8/12))</f>
        <v>264.17054832408138</v>
      </c>
      <c r="G237" s="15">
        <f>IF($A237="","",IF($C237="Draw",$F237,'HELOC Calculator'!$B$18))</f>
        <v>362.35218755795904</v>
      </c>
      <c r="H237" s="15">
        <f t="shared" si="12"/>
        <v>98.181639233877661</v>
      </c>
      <c r="I237" s="15">
        <f t="shared" si="13"/>
        <v>37196.484006518782</v>
      </c>
    </row>
    <row r="238" spans="1:9" ht="15" customHeight="1" x14ac:dyDescent="0.3">
      <c r="A238" s="13">
        <f>IF(237&lt;='HELOC Calculator'!$B$16,237,"")</f>
        <v>237</v>
      </c>
      <c r="B238" s="14">
        <f t="shared" si="14"/>
        <v>53387</v>
      </c>
      <c r="C238" s="13" t="str">
        <f>IF($A238="","",IF($A238&lt;='HELOC Calculator'!$B$14,"Draw","Repayment"))</f>
        <v>Repayment</v>
      </c>
      <c r="D238" s="15">
        <f t="shared" si="15"/>
        <v>37196.484006518782</v>
      </c>
      <c r="E238" s="15">
        <f>IF($A238="","",IF($C238="Draw",'HELOC Calculator'!$B$7,0))</f>
        <v>0</v>
      </c>
      <c r="F238" s="15">
        <f>IF($A238="","",$D238*('HELOC Calculator'!$B$8/12))</f>
        <v>263.47509504617472</v>
      </c>
      <c r="G238" s="15">
        <f>IF($A238="","",IF($C238="Draw",$F238,'HELOC Calculator'!$B$18))</f>
        <v>362.35218755795904</v>
      </c>
      <c r="H238" s="15">
        <f t="shared" si="12"/>
        <v>98.877092511784326</v>
      </c>
      <c r="I238" s="15">
        <f t="shared" si="13"/>
        <v>37097.606914006996</v>
      </c>
    </row>
    <row r="239" spans="1:9" ht="15" customHeight="1" x14ac:dyDescent="0.3">
      <c r="A239" s="13">
        <f>IF(238&lt;='HELOC Calculator'!$B$16,238,"")</f>
        <v>238</v>
      </c>
      <c r="B239" s="14">
        <f t="shared" si="14"/>
        <v>53418</v>
      </c>
      <c r="C239" s="13" t="str">
        <f>IF($A239="","",IF($A239&lt;='HELOC Calculator'!$B$14,"Draw","Repayment"))</f>
        <v>Repayment</v>
      </c>
      <c r="D239" s="15">
        <f t="shared" si="15"/>
        <v>37097.606914006996</v>
      </c>
      <c r="E239" s="15">
        <f>IF($A239="","",IF($C239="Draw",'HELOC Calculator'!$B$7,0))</f>
        <v>0</v>
      </c>
      <c r="F239" s="15">
        <f>IF($A239="","",$D239*('HELOC Calculator'!$B$8/12))</f>
        <v>262.7747156408829</v>
      </c>
      <c r="G239" s="15">
        <f>IF($A239="","",IF($C239="Draw",$F239,'HELOC Calculator'!$B$18))</f>
        <v>362.35218755795904</v>
      </c>
      <c r="H239" s="15">
        <f t="shared" si="12"/>
        <v>99.577471917076139</v>
      </c>
      <c r="I239" s="15">
        <f t="shared" si="13"/>
        <v>36998.029442089923</v>
      </c>
    </row>
    <row r="240" spans="1:9" ht="15" customHeight="1" x14ac:dyDescent="0.3">
      <c r="A240" s="13">
        <f>IF(239&lt;='HELOC Calculator'!$B$16,239,"")</f>
        <v>239</v>
      </c>
      <c r="B240" s="14">
        <f t="shared" si="14"/>
        <v>53448</v>
      </c>
      <c r="C240" s="13" t="str">
        <f>IF($A240="","",IF($A240&lt;='HELOC Calculator'!$B$14,"Draw","Repayment"))</f>
        <v>Repayment</v>
      </c>
      <c r="D240" s="15">
        <f t="shared" si="15"/>
        <v>36998.029442089923</v>
      </c>
      <c r="E240" s="15">
        <f>IF($A240="","",IF($C240="Draw",'HELOC Calculator'!$B$7,0))</f>
        <v>0</v>
      </c>
      <c r="F240" s="15">
        <f>IF($A240="","",$D240*('HELOC Calculator'!$B$8/12))</f>
        <v>262.06937521480364</v>
      </c>
      <c r="G240" s="15">
        <f>IF($A240="","",IF($C240="Draw",$F240,'HELOC Calculator'!$B$18))</f>
        <v>362.35218755795904</v>
      </c>
      <c r="H240" s="15">
        <f t="shared" si="12"/>
        <v>100.2828123431554</v>
      </c>
      <c r="I240" s="15">
        <f t="shared" si="13"/>
        <v>36897.746629746769</v>
      </c>
    </row>
    <row r="241" spans="1:9" ht="15" customHeight="1" x14ac:dyDescent="0.3">
      <c r="A241" s="13">
        <f>IF(240&lt;='HELOC Calculator'!$B$16,240,"")</f>
        <v>240</v>
      </c>
      <c r="B241" s="14">
        <f t="shared" si="14"/>
        <v>53479</v>
      </c>
      <c r="C241" s="13" t="str">
        <f>IF($A241="","",IF($A241&lt;='HELOC Calculator'!$B$14,"Draw","Repayment"))</f>
        <v>Repayment</v>
      </c>
      <c r="D241" s="15">
        <f t="shared" si="15"/>
        <v>36897.746629746769</v>
      </c>
      <c r="E241" s="15">
        <f>IF($A241="","",IF($C241="Draw",'HELOC Calculator'!$B$7,0))</f>
        <v>0</v>
      </c>
      <c r="F241" s="15">
        <f>IF($A241="","",$D241*('HELOC Calculator'!$B$8/12))</f>
        <v>261.35903862737297</v>
      </c>
      <c r="G241" s="15">
        <f>IF($A241="","",IF($C241="Draw",$F241,'HELOC Calculator'!$B$18))</f>
        <v>362.35218755795904</v>
      </c>
      <c r="H241" s="15">
        <f t="shared" si="12"/>
        <v>100.99314893058607</v>
      </c>
      <c r="I241" s="15">
        <f t="shared" si="13"/>
        <v>36796.75348081618</v>
      </c>
    </row>
    <row r="242" spans="1:9" ht="15" customHeight="1" x14ac:dyDescent="0.3">
      <c r="A242" s="13">
        <f>IF(241&lt;='HELOC Calculator'!$B$16,241,"")</f>
        <v>241</v>
      </c>
      <c r="B242" s="14">
        <f t="shared" si="14"/>
        <v>53509</v>
      </c>
      <c r="C242" s="13" t="str">
        <f>IF($A242="","",IF($A242&lt;='HELOC Calculator'!$B$14,"Draw","Repayment"))</f>
        <v>Repayment</v>
      </c>
      <c r="D242" s="15">
        <f t="shared" si="15"/>
        <v>36796.75348081618</v>
      </c>
      <c r="E242" s="15">
        <f>IF($A242="","",IF($C242="Draw",'HELOC Calculator'!$B$7,0))</f>
        <v>0</v>
      </c>
      <c r="F242" s="15">
        <f>IF($A242="","",$D242*('HELOC Calculator'!$B$8/12))</f>
        <v>260.64367048911464</v>
      </c>
      <c r="G242" s="15">
        <f>IF($A242="","",IF($C242="Draw",$F242,'HELOC Calculator'!$B$18))</f>
        <v>362.35218755795904</v>
      </c>
      <c r="H242" s="15">
        <f t="shared" si="12"/>
        <v>101.7085170688444</v>
      </c>
      <c r="I242" s="15">
        <f t="shared" si="13"/>
        <v>36695.044963747336</v>
      </c>
    </row>
    <row r="243" spans="1:9" ht="15" customHeight="1" x14ac:dyDescent="0.3">
      <c r="A243" s="13">
        <f>IF(242&lt;='HELOC Calculator'!$B$16,242,"")</f>
        <v>242</v>
      </c>
      <c r="B243" s="14">
        <f t="shared" si="14"/>
        <v>53540</v>
      </c>
      <c r="C243" s="13" t="str">
        <f>IF($A243="","",IF($A243&lt;='HELOC Calculator'!$B$14,"Draw","Repayment"))</f>
        <v>Repayment</v>
      </c>
      <c r="D243" s="15">
        <f t="shared" si="15"/>
        <v>36695.044963747336</v>
      </c>
      <c r="E243" s="15">
        <f>IF($A243="","",IF($C243="Draw",'HELOC Calculator'!$B$7,0))</f>
        <v>0</v>
      </c>
      <c r="F243" s="15">
        <f>IF($A243="","",$D243*('HELOC Calculator'!$B$8/12))</f>
        <v>259.92323515987698</v>
      </c>
      <c r="G243" s="15">
        <f>IF($A243="","",IF($C243="Draw",$F243,'HELOC Calculator'!$B$18))</f>
        <v>362.35218755795904</v>
      </c>
      <c r="H243" s="15">
        <f t="shared" si="12"/>
        <v>102.42895239808206</v>
      </c>
      <c r="I243" s="15">
        <f t="shared" si="13"/>
        <v>36592.616011349251</v>
      </c>
    </row>
    <row r="244" spans="1:9" ht="15" customHeight="1" x14ac:dyDescent="0.3">
      <c r="A244" s="13">
        <f>IF(243&lt;='HELOC Calculator'!$B$16,243,"")</f>
        <v>243</v>
      </c>
      <c r="B244" s="14">
        <f t="shared" si="14"/>
        <v>53571</v>
      </c>
      <c r="C244" s="13" t="str">
        <f>IF($A244="","",IF($A244&lt;='HELOC Calculator'!$B$14,"Draw","Repayment"))</f>
        <v>Repayment</v>
      </c>
      <c r="D244" s="15">
        <f t="shared" si="15"/>
        <v>36592.616011349251</v>
      </c>
      <c r="E244" s="15">
        <f>IF($A244="","",IF($C244="Draw",'HELOC Calculator'!$B$7,0))</f>
        <v>0</v>
      </c>
      <c r="F244" s="15">
        <f>IF($A244="","",$D244*('HELOC Calculator'!$B$8/12))</f>
        <v>259.19769674705719</v>
      </c>
      <c r="G244" s="15">
        <f>IF($A244="","",IF($C244="Draw",$F244,'HELOC Calculator'!$B$18))</f>
        <v>362.35218755795904</v>
      </c>
      <c r="H244" s="15">
        <f t="shared" si="12"/>
        <v>103.15449081090185</v>
      </c>
      <c r="I244" s="15">
        <f t="shared" si="13"/>
        <v>36489.461520538352</v>
      </c>
    </row>
    <row r="245" spans="1:9" ht="15" customHeight="1" x14ac:dyDescent="0.3">
      <c r="A245" s="13">
        <f>IF(244&lt;='HELOC Calculator'!$B$16,244,"")</f>
        <v>244</v>
      </c>
      <c r="B245" s="14">
        <f t="shared" si="14"/>
        <v>53601</v>
      </c>
      <c r="C245" s="13" t="str">
        <f>IF($A245="","",IF($A245&lt;='HELOC Calculator'!$B$14,"Draw","Repayment"))</f>
        <v>Repayment</v>
      </c>
      <c r="D245" s="15">
        <f t="shared" si="15"/>
        <v>36489.461520538352</v>
      </c>
      <c r="E245" s="15">
        <f>IF($A245="","",IF($C245="Draw",'HELOC Calculator'!$B$7,0))</f>
        <v>0</v>
      </c>
      <c r="F245" s="15">
        <f>IF($A245="","",$D245*('HELOC Calculator'!$B$8/12))</f>
        <v>258.46701910381336</v>
      </c>
      <c r="G245" s="15">
        <f>IF($A245="","",IF($C245="Draw",$F245,'HELOC Calculator'!$B$18))</f>
        <v>362.35218755795904</v>
      </c>
      <c r="H245" s="15">
        <f t="shared" si="12"/>
        <v>103.88516845414568</v>
      </c>
      <c r="I245" s="15">
        <f t="shared" si="13"/>
        <v>36385.576352084208</v>
      </c>
    </row>
    <row r="246" spans="1:9" ht="15" customHeight="1" x14ac:dyDescent="0.3">
      <c r="A246" s="13">
        <f>IF(245&lt;='HELOC Calculator'!$B$16,245,"")</f>
        <v>245</v>
      </c>
      <c r="B246" s="14">
        <f t="shared" si="14"/>
        <v>53632</v>
      </c>
      <c r="C246" s="13" t="str">
        <f>IF($A246="","",IF($A246&lt;='HELOC Calculator'!$B$14,"Draw","Repayment"))</f>
        <v>Repayment</v>
      </c>
      <c r="D246" s="15">
        <f t="shared" si="15"/>
        <v>36385.576352084208</v>
      </c>
      <c r="E246" s="15">
        <f>IF($A246="","",IF($C246="Draw",'HELOC Calculator'!$B$7,0))</f>
        <v>0</v>
      </c>
      <c r="F246" s="15">
        <f>IF($A246="","",$D246*('HELOC Calculator'!$B$8/12))</f>
        <v>257.73116582726317</v>
      </c>
      <c r="G246" s="15">
        <f>IF($A246="","",IF($C246="Draw",$F246,'HELOC Calculator'!$B$18))</f>
        <v>362.35218755795904</v>
      </c>
      <c r="H246" s="15">
        <f t="shared" si="12"/>
        <v>104.62102173069587</v>
      </c>
      <c r="I246" s="15">
        <f t="shared" si="13"/>
        <v>36280.955330353514</v>
      </c>
    </row>
    <row r="247" spans="1:9" ht="15" customHeight="1" x14ac:dyDescent="0.3">
      <c r="A247" s="13">
        <f>IF(246&lt;='HELOC Calculator'!$B$16,246,"")</f>
        <v>246</v>
      </c>
      <c r="B247" s="14">
        <f t="shared" si="14"/>
        <v>53662</v>
      </c>
      <c r="C247" s="13" t="str">
        <f>IF($A247="","",IF($A247&lt;='HELOC Calculator'!$B$14,"Draw","Repayment"))</f>
        <v>Repayment</v>
      </c>
      <c r="D247" s="15">
        <f t="shared" si="15"/>
        <v>36280.955330353514</v>
      </c>
      <c r="E247" s="15">
        <f>IF($A247="","",IF($C247="Draw",'HELOC Calculator'!$B$7,0))</f>
        <v>0</v>
      </c>
      <c r="F247" s="15">
        <f>IF($A247="","",$D247*('HELOC Calculator'!$B$8/12))</f>
        <v>256.99010025667076</v>
      </c>
      <c r="G247" s="15">
        <f>IF($A247="","",IF($C247="Draw",$F247,'HELOC Calculator'!$B$18))</f>
        <v>362.35218755795904</v>
      </c>
      <c r="H247" s="15">
        <f t="shared" si="12"/>
        <v>105.36208730128828</v>
      </c>
      <c r="I247" s="15">
        <f t="shared" si="13"/>
        <v>36175.593243052223</v>
      </c>
    </row>
    <row r="248" spans="1:9" ht="15" customHeight="1" x14ac:dyDescent="0.3">
      <c r="A248" s="13">
        <f>IF(247&lt;='HELOC Calculator'!$B$16,247,"")</f>
        <v>247</v>
      </c>
      <c r="B248" s="14">
        <f t="shared" si="14"/>
        <v>53693</v>
      </c>
      <c r="C248" s="13" t="str">
        <f>IF($A248="","",IF($A248&lt;='HELOC Calculator'!$B$14,"Draw","Repayment"))</f>
        <v>Repayment</v>
      </c>
      <c r="D248" s="15">
        <f t="shared" si="15"/>
        <v>36175.593243052223</v>
      </c>
      <c r="E248" s="15">
        <f>IF($A248="","",IF($C248="Draw",'HELOC Calculator'!$B$7,0))</f>
        <v>0</v>
      </c>
      <c r="F248" s="15">
        <f>IF($A248="","",$D248*('HELOC Calculator'!$B$8/12))</f>
        <v>256.2437854716199</v>
      </c>
      <c r="G248" s="15">
        <f>IF($A248="","",IF($C248="Draw",$F248,'HELOC Calculator'!$B$18))</f>
        <v>362.35218755795904</v>
      </c>
      <c r="H248" s="15">
        <f t="shared" si="12"/>
        <v>106.10840208633914</v>
      </c>
      <c r="I248" s="15">
        <f t="shared" si="13"/>
        <v>36069.484840965881</v>
      </c>
    </row>
    <row r="249" spans="1:9" ht="15" customHeight="1" x14ac:dyDescent="0.3">
      <c r="A249" s="13">
        <f>IF(248&lt;='HELOC Calculator'!$B$16,248,"")</f>
        <v>248</v>
      </c>
      <c r="B249" s="14">
        <f t="shared" si="14"/>
        <v>53724</v>
      </c>
      <c r="C249" s="13" t="str">
        <f>IF($A249="","",IF($A249&lt;='HELOC Calculator'!$B$14,"Draw","Repayment"))</f>
        <v>Repayment</v>
      </c>
      <c r="D249" s="15">
        <f t="shared" si="15"/>
        <v>36069.484840965881</v>
      </c>
      <c r="E249" s="15">
        <f>IF($A249="","",IF($C249="Draw",'HELOC Calculator'!$B$7,0))</f>
        <v>0</v>
      </c>
      <c r="F249" s="15">
        <f>IF($A249="","",$D249*('HELOC Calculator'!$B$8/12))</f>
        <v>255.492184290175</v>
      </c>
      <c r="G249" s="15">
        <f>IF($A249="","",IF($C249="Draw",$F249,'HELOC Calculator'!$B$18))</f>
        <v>362.35218755795904</v>
      </c>
      <c r="H249" s="15">
        <f t="shared" si="12"/>
        <v>106.86000326778404</v>
      </c>
      <c r="I249" s="15">
        <f t="shared" si="13"/>
        <v>35962.624837698095</v>
      </c>
    </row>
    <row r="250" spans="1:9" ht="15" customHeight="1" x14ac:dyDescent="0.3">
      <c r="A250" s="13">
        <f>IF(249&lt;='HELOC Calculator'!$B$16,249,"")</f>
        <v>249</v>
      </c>
      <c r="B250" s="14">
        <f t="shared" si="14"/>
        <v>53752</v>
      </c>
      <c r="C250" s="13" t="str">
        <f>IF($A250="","",IF($A250&lt;='HELOC Calculator'!$B$14,"Draw","Repayment"))</f>
        <v>Repayment</v>
      </c>
      <c r="D250" s="15">
        <f t="shared" si="15"/>
        <v>35962.624837698095</v>
      </c>
      <c r="E250" s="15">
        <f>IF($A250="","",IF($C250="Draw",'HELOC Calculator'!$B$7,0))</f>
        <v>0</v>
      </c>
      <c r="F250" s="15">
        <f>IF($A250="","",$D250*('HELOC Calculator'!$B$8/12))</f>
        <v>254.7352592670282</v>
      </c>
      <c r="G250" s="15">
        <f>IF($A250="","",IF($C250="Draw",$F250,'HELOC Calculator'!$B$18))</f>
        <v>362.35218755795904</v>
      </c>
      <c r="H250" s="15">
        <f t="shared" si="12"/>
        <v>107.61692829093084</v>
      </c>
      <c r="I250" s="15">
        <f t="shared" si="13"/>
        <v>35855.007909407163</v>
      </c>
    </row>
    <row r="251" spans="1:9" ht="15" customHeight="1" x14ac:dyDescent="0.3">
      <c r="A251" s="13">
        <f>IF(250&lt;='HELOC Calculator'!$B$16,250,"")</f>
        <v>250</v>
      </c>
      <c r="B251" s="14">
        <f t="shared" si="14"/>
        <v>53783</v>
      </c>
      <c r="C251" s="13" t="str">
        <f>IF($A251="","",IF($A251&lt;='HELOC Calculator'!$B$14,"Draw","Repayment"))</f>
        <v>Repayment</v>
      </c>
      <c r="D251" s="15">
        <f t="shared" si="15"/>
        <v>35855.007909407163</v>
      </c>
      <c r="E251" s="15">
        <f>IF($A251="","",IF($C251="Draw",'HELOC Calculator'!$B$7,0))</f>
        <v>0</v>
      </c>
      <c r="F251" s="15">
        <f>IF($A251="","",$D251*('HELOC Calculator'!$B$8/12))</f>
        <v>253.97297269163408</v>
      </c>
      <c r="G251" s="15">
        <f>IF($A251="","",IF($C251="Draw",$F251,'HELOC Calculator'!$B$18))</f>
        <v>362.35218755795904</v>
      </c>
      <c r="H251" s="15">
        <f t="shared" si="12"/>
        <v>108.37921486632496</v>
      </c>
      <c r="I251" s="15">
        <f t="shared" si="13"/>
        <v>35746.628694540836</v>
      </c>
    </row>
    <row r="252" spans="1:9" ht="15" customHeight="1" x14ac:dyDescent="0.3">
      <c r="A252" s="13">
        <f>IF(251&lt;='HELOC Calculator'!$B$16,251,"")</f>
        <v>251</v>
      </c>
      <c r="B252" s="14">
        <f t="shared" si="14"/>
        <v>53813</v>
      </c>
      <c r="C252" s="13" t="str">
        <f>IF($A252="","",IF($A252&lt;='HELOC Calculator'!$B$14,"Draw","Repayment"))</f>
        <v>Repayment</v>
      </c>
      <c r="D252" s="15">
        <f t="shared" si="15"/>
        <v>35746.628694540836</v>
      </c>
      <c r="E252" s="15">
        <f>IF($A252="","",IF($C252="Draw",'HELOC Calculator'!$B$7,0))</f>
        <v>0</v>
      </c>
      <c r="F252" s="15">
        <f>IF($A252="","",$D252*('HELOC Calculator'!$B$8/12))</f>
        <v>253.20528658633094</v>
      </c>
      <c r="G252" s="15">
        <f>IF($A252="","",IF($C252="Draw",$F252,'HELOC Calculator'!$B$18))</f>
        <v>362.35218755795904</v>
      </c>
      <c r="H252" s="15">
        <f t="shared" si="12"/>
        <v>109.1469009716281</v>
      </c>
      <c r="I252" s="15">
        <f t="shared" si="13"/>
        <v>35637.481793569204</v>
      </c>
    </row>
    <row r="253" spans="1:9" ht="15" customHeight="1" x14ac:dyDescent="0.3">
      <c r="A253" s="13">
        <f>IF(252&lt;='HELOC Calculator'!$B$16,252,"")</f>
        <v>252</v>
      </c>
      <c r="B253" s="14">
        <f t="shared" si="14"/>
        <v>53844</v>
      </c>
      <c r="C253" s="13" t="str">
        <f>IF($A253="","",IF($A253&lt;='HELOC Calculator'!$B$14,"Draw","Repayment"))</f>
        <v>Repayment</v>
      </c>
      <c r="D253" s="15">
        <f t="shared" si="15"/>
        <v>35637.481793569204</v>
      </c>
      <c r="E253" s="15">
        <f>IF($A253="","",IF($C253="Draw",'HELOC Calculator'!$B$7,0))</f>
        <v>0</v>
      </c>
      <c r="F253" s="15">
        <f>IF($A253="","",$D253*('HELOC Calculator'!$B$8/12))</f>
        <v>252.43216270444856</v>
      </c>
      <c r="G253" s="15">
        <f>IF($A253="","",IF($C253="Draw",$F253,'HELOC Calculator'!$B$18))</f>
        <v>362.35218755795904</v>
      </c>
      <c r="H253" s="15">
        <f t="shared" si="12"/>
        <v>109.92002485351048</v>
      </c>
      <c r="I253" s="15">
        <f t="shared" si="13"/>
        <v>35527.561768715692</v>
      </c>
    </row>
    <row r="254" spans="1:9" ht="15" customHeight="1" x14ac:dyDescent="0.3">
      <c r="A254" s="13">
        <f>IF(253&lt;='HELOC Calculator'!$B$16,253,"")</f>
        <v>253</v>
      </c>
      <c r="B254" s="14">
        <f t="shared" si="14"/>
        <v>53874</v>
      </c>
      <c r="C254" s="13" t="str">
        <f>IF($A254="","",IF($A254&lt;='HELOC Calculator'!$B$14,"Draw","Repayment"))</f>
        <v>Repayment</v>
      </c>
      <c r="D254" s="15">
        <f t="shared" si="15"/>
        <v>35527.561768715692</v>
      </c>
      <c r="E254" s="15">
        <f>IF($A254="","",IF($C254="Draw",'HELOC Calculator'!$B$7,0))</f>
        <v>0</v>
      </c>
      <c r="F254" s="15">
        <f>IF($A254="","",$D254*('HELOC Calculator'!$B$8/12))</f>
        <v>251.65356252840283</v>
      </c>
      <c r="G254" s="15">
        <f>IF($A254="","",IF($C254="Draw",$F254,'HELOC Calculator'!$B$18))</f>
        <v>362.35218755795904</v>
      </c>
      <c r="H254" s="15">
        <f t="shared" si="12"/>
        <v>110.69862502955621</v>
      </c>
      <c r="I254" s="15">
        <f t="shared" si="13"/>
        <v>35416.863143686132</v>
      </c>
    </row>
    <row r="255" spans="1:9" ht="15" customHeight="1" x14ac:dyDescent="0.3">
      <c r="A255" s="13">
        <f>IF(254&lt;='HELOC Calculator'!$B$16,254,"")</f>
        <v>254</v>
      </c>
      <c r="B255" s="14">
        <f t="shared" si="14"/>
        <v>53905</v>
      </c>
      <c r="C255" s="13" t="str">
        <f>IF($A255="","",IF($A255&lt;='HELOC Calculator'!$B$14,"Draw","Repayment"))</f>
        <v>Repayment</v>
      </c>
      <c r="D255" s="15">
        <f t="shared" si="15"/>
        <v>35416.863143686132</v>
      </c>
      <c r="E255" s="15">
        <f>IF($A255="","",IF($C255="Draw",'HELOC Calculator'!$B$7,0))</f>
        <v>0</v>
      </c>
      <c r="F255" s="15">
        <f>IF($A255="","",$D255*('HELOC Calculator'!$B$8/12))</f>
        <v>250.86944726777679</v>
      </c>
      <c r="G255" s="15">
        <f>IF($A255="","",IF($C255="Draw",$F255,'HELOC Calculator'!$B$18))</f>
        <v>362.35218755795904</v>
      </c>
      <c r="H255" s="15">
        <f t="shared" si="12"/>
        <v>111.48274029018225</v>
      </c>
      <c r="I255" s="15">
        <f t="shared" si="13"/>
        <v>35305.380403395953</v>
      </c>
    </row>
    <row r="256" spans="1:9" ht="15" customHeight="1" x14ac:dyDescent="0.3">
      <c r="A256" s="13">
        <f>IF(255&lt;='HELOC Calculator'!$B$16,255,"")</f>
        <v>255</v>
      </c>
      <c r="B256" s="14">
        <f t="shared" si="14"/>
        <v>53936</v>
      </c>
      <c r="C256" s="13" t="str">
        <f>IF($A256="","",IF($A256&lt;='HELOC Calculator'!$B$14,"Draw","Repayment"))</f>
        <v>Repayment</v>
      </c>
      <c r="D256" s="15">
        <f t="shared" si="15"/>
        <v>35305.380403395953</v>
      </c>
      <c r="E256" s="15">
        <f>IF($A256="","",IF($C256="Draw",'HELOC Calculator'!$B$7,0))</f>
        <v>0</v>
      </c>
      <c r="F256" s="15">
        <f>IF($A256="","",$D256*('HELOC Calculator'!$B$8/12))</f>
        <v>250.07977785738802</v>
      </c>
      <c r="G256" s="15">
        <f>IF($A256="","",IF($C256="Draw",$F256,'HELOC Calculator'!$B$18))</f>
        <v>362.35218755795904</v>
      </c>
      <c r="H256" s="15">
        <f t="shared" si="12"/>
        <v>112.27240970057102</v>
      </c>
      <c r="I256" s="15">
        <f t="shared" si="13"/>
        <v>35193.107993695383</v>
      </c>
    </row>
    <row r="257" spans="1:9" ht="15" customHeight="1" x14ac:dyDescent="0.3">
      <c r="A257" s="13">
        <f>IF(256&lt;='HELOC Calculator'!$B$16,256,"")</f>
        <v>256</v>
      </c>
      <c r="B257" s="14">
        <f t="shared" si="14"/>
        <v>53966</v>
      </c>
      <c r="C257" s="13" t="str">
        <f>IF($A257="","",IF($A257&lt;='HELOC Calculator'!$B$14,"Draw","Repayment"))</f>
        <v>Repayment</v>
      </c>
      <c r="D257" s="15">
        <f t="shared" si="15"/>
        <v>35193.107993695383</v>
      </c>
      <c r="E257" s="15">
        <f>IF($A257="","",IF($C257="Draw",'HELOC Calculator'!$B$7,0))</f>
        <v>0</v>
      </c>
      <c r="F257" s="15">
        <f>IF($A257="","",$D257*('HELOC Calculator'!$B$8/12))</f>
        <v>249.2845149553423</v>
      </c>
      <c r="G257" s="15">
        <f>IF($A257="","",IF($C257="Draw",$F257,'HELOC Calculator'!$B$18))</f>
        <v>362.35218755795904</v>
      </c>
      <c r="H257" s="15">
        <f t="shared" si="12"/>
        <v>113.06767260261674</v>
      </c>
      <c r="I257" s="15">
        <f t="shared" si="13"/>
        <v>35080.040321092769</v>
      </c>
    </row>
    <row r="258" spans="1:9" ht="15" customHeight="1" x14ac:dyDescent="0.3">
      <c r="A258" s="13">
        <f>IF(257&lt;='HELOC Calculator'!$B$16,257,"")</f>
        <v>257</v>
      </c>
      <c r="B258" s="14">
        <f t="shared" si="14"/>
        <v>53997</v>
      </c>
      <c r="C258" s="13" t="str">
        <f>IF($A258="","",IF($A258&lt;='HELOC Calculator'!$B$14,"Draw","Repayment"))</f>
        <v>Repayment</v>
      </c>
      <c r="D258" s="15">
        <f t="shared" si="15"/>
        <v>35080.040321092769</v>
      </c>
      <c r="E258" s="15">
        <f>IF($A258="","",IF($C258="Draw",'HELOC Calculator'!$B$7,0))</f>
        <v>0</v>
      </c>
      <c r="F258" s="15">
        <f>IF($A258="","",$D258*('HELOC Calculator'!$B$8/12))</f>
        <v>248.48361894107379</v>
      </c>
      <c r="G258" s="15">
        <f>IF($A258="","",IF($C258="Draw",$F258,'HELOC Calculator'!$B$18))</f>
        <v>362.35218755795904</v>
      </c>
      <c r="H258" s="15">
        <f t="shared" ref="H258:H321" si="16">IF($A258="","",IF($C258="Draw",0,MAX($G258-$F258,0)))</f>
        <v>113.86856861688526</v>
      </c>
      <c r="I258" s="15">
        <f t="shared" ref="I258:I321" si="17">IF($A258="","",MAX($D258+$E258-$H258,0))</f>
        <v>34966.171752475886</v>
      </c>
    </row>
    <row r="259" spans="1:9" ht="15" customHeight="1" x14ac:dyDescent="0.3">
      <c r="A259" s="13">
        <f>IF(258&lt;='HELOC Calculator'!$B$16,258,"")</f>
        <v>258</v>
      </c>
      <c r="B259" s="14">
        <f t="shared" ref="B259:B322" si="18">IF($A259="","",EDATE($B258,1))</f>
        <v>54027</v>
      </c>
      <c r="C259" s="13" t="str">
        <f>IF($A259="","",IF($A259&lt;='HELOC Calculator'!$B$14,"Draw","Repayment"))</f>
        <v>Repayment</v>
      </c>
      <c r="D259" s="15">
        <f t="shared" ref="D259:D322" si="19">IF($A259="","",$I258)</f>
        <v>34966.171752475886</v>
      </c>
      <c r="E259" s="15">
        <f>IF($A259="","",IF($C259="Draw",'HELOC Calculator'!$B$7,0))</f>
        <v>0</v>
      </c>
      <c r="F259" s="15">
        <f>IF($A259="","",$D259*('HELOC Calculator'!$B$8/12))</f>
        <v>247.67704991337087</v>
      </c>
      <c r="G259" s="15">
        <f>IF($A259="","",IF($C259="Draw",$F259,'HELOC Calculator'!$B$18))</f>
        <v>362.35218755795904</v>
      </c>
      <c r="H259" s="15">
        <f t="shared" si="16"/>
        <v>114.67513764458818</v>
      </c>
      <c r="I259" s="15">
        <f t="shared" si="17"/>
        <v>34851.496614831296</v>
      </c>
    </row>
    <row r="260" spans="1:9" ht="15" customHeight="1" x14ac:dyDescent="0.3">
      <c r="A260" s="13">
        <f>IF(259&lt;='HELOC Calculator'!$B$16,259,"")</f>
        <v>259</v>
      </c>
      <c r="B260" s="14">
        <f t="shared" si="18"/>
        <v>54058</v>
      </c>
      <c r="C260" s="13" t="str">
        <f>IF($A260="","",IF($A260&lt;='HELOC Calculator'!$B$14,"Draw","Repayment"))</f>
        <v>Repayment</v>
      </c>
      <c r="D260" s="15">
        <f t="shared" si="19"/>
        <v>34851.496614831296</v>
      </c>
      <c r="E260" s="15">
        <f>IF($A260="","",IF($C260="Draw",'HELOC Calculator'!$B$7,0))</f>
        <v>0</v>
      </c>
      <c r="F260" s="15">
        <f>IF($A260="","",$D260*('HELOC Calculator'!$B$8/12))</f>
        <v>246.86476768838835</v>
      </c>
      <c r="G260" s="15">
        <f>IF($A260="","",IF($C260="Draw",$F260,'HELOC Calculator'!$B$18))</f>
        <v>362.35218755795904</v>
      </c>
      <c r="H260" s="15">
        <f t="shared" si="16"/>
        <v>115.48741986957069</v>
      </c>
      <c r="I260" s="15">
        <f t="shared" si="17"/>
        <v>34736.009194961727</v>
      </c>
    </row>
    <row r="261" spans="1:9" ht="15" customHeight="1" x14ac:dyDescent="0.3">
      <c r="A261" s="13">
        <f>IF(260&lt;='HELOC Calculator'!$B$16,260,"")</f>
        <v>260</v>
      </c>
      <c r="B261" s="14">
        <f t="shared" si="18"/>
        <v>54089</v>
      </c>
      <c r="C261" s="13" t="str">
        <f>IF($A261="","",IF($A261&lt;='HELOC Calculator'!$B$14,"Draw","Repayment"))</f>
        <v>Repayment</v>
      </c>
      <c r="D261" s="15">
        <f t="shared" si="19"/>
        <v>34736.009194961727</v>
      </c>
      <c r="E261" s="15">
        <f>IF($A261="","",IF($C261="Draw",'HELOC Calculator'!$B$7,0))</f>
        <v>0</v>
      </c>
      <c r="F261" s="15">
        <f>IF($A261="","",$D261*('HELOC Calculator'!$B$8/12))</f>
        <v>246.04673179764558</v>
      </c>
      <c r="G261" s="15">
        <f>IF($A261="","",IF($C261="Draw",$F261,'HELOC Calculator'!$B$18))</f>
        <v>362.35218755795904</v>
      </c>
      <c r="H261" s="15">
        <f t="shared" si="16"/>
        <v>116.30545576031346</v>
      </c>
      <c r="I261" s="15">
        <f t="shared" si="17"/>
        <v>34619.703739201417</v>
      </c>
    </row>
    <row r="262" spans="1:9" ht="15" customHeight="1" x14ac:dyDescent="0.3">
      <c r="A262" s="13">
        <f>IF(261&lt;='HELOC Calculator'!$B$16,261,"")</f>
        <v>261</v>
      </c>
      <c r="B262" s="14">
        <f t="shared" si="18"/>
        <v>54118</v>
      </c>
      <c r="C262" s="13" t="str">
        <f>IF($A262="","",IF($A262&lt;='HELOC Calculator'!$B$14,"Draw","Repayment"))</f>
        <v>Repayment</v>
      </c>
      <c r="D262" s="15">
        <f t="shared" si="19"/>
        <v>34619.703739201417</v>
      </c>
      <c r="E262" s="15">
        <f>IF($A262="","",IF($C262="Draw",'HELOC Calculator'!$B$7,0))</f>
        <v>0</v>
      </c>
      <c r="F262" s="15">
        <f>IF($A262="","",$D262*('HELOC Calculator'!$B$8/12))</f>
        <v>245.22290148601004</v>
      </c>
      <c r="G262" s="15">
        <f>IF($A262="","",IF($C262="Draw",$F262,'HELOC Calculator'!$B$18))</f>
        <v>362.35218755795904</v>
      </c>
      <c r="H262" s="15">
        <f t="shared" si="16"/>
        <v>117.129286071949</v>
      </c>
      <c r="I262" s="15">
        <f t="shared" si="17"/>
        <v>34502.574453129469</v>
      </c>
    </row>
    <row r="263" spans="1:9" ht="15" customHeight="1" x14ac:dyDescent="0.3">
      <c r="A263" s="13">
        <f>IF(262&lt;='HELOC Calculator'!$B$16,262,"")</f>
        <v>262</v>
      </c>
      <c r="B263" s="14">
        <f t="shared" si="18"/>
        <v>54149</v>
      </c>
      <c r="C263" s="13" t="str">
        <f>IF($A263="","",IF($A263&lt;='HELOC Calculator'!$B$14,"Draw","Repayment"))</f>
        <v>Repayment</v>
      </c>
      <c r="D263" s="15">
        <f t="shared" si="19"/>
        <v>34502.574453129469</v>
      </c>
      <c r="E263" s="15">
        <f>IF($A263="","",IF($C263="Draw",'HELOC Calculator'!$B$7,0))</f>
        <v>0</v>
      </c>
      <c r="F263" s="15">
        <f>IF($A263="","",$D263*('HELOC Calculator'!$B$8/12))</f>
        <v>244.3932357096671</v>
      </c>
      <c r="G263" s="15">
        <f>IF($A263="","",IF($C263="Draw",$F263,'HELOC Calculator'!$B$18))</f>
        <v>362.35218755795904</v>
      </c>
      <c r="H263" s="15">
        <f t="shared" si="16"/>
        <v>117.95895184829195</v>
      </c>
      <c r="I263" s="15">
        <f t="shared" si="17"/>
        <v>34384.61550128118</v>
      </c>
    </row>
    <row r="264" spans="1:9" ht="15" customHeight="1" x14ac:dyDescent="0.3">
      <c r="A264" s="13">
        <f>IF(263&lt;='HELOC Calculator'!$B$16,263,"")</f>
        <v>263</v>
      </c>
      <c r="B264" s="14">
        <f t="shared" si="18"/>
        <v>54179</v>
      </c>
      <c r="C264" s="13" t="str">
        <f>IF($A264="","",IF($A264&lt;='HELOC Calculator'!$B$14,"Draw","Repayment"))</f>
        <v>Repayment</v>
      </c>
      <c r="D264" s="15">
        <f t="shared" si="19"/>
        <v>34384.61550128118</v>
      </c>
      <c r="E264" s="15">
        <f>IF($A264="","",IF($C264="Draw",'HELOC Calculator'!$B$7,0))</f>
        <v>0</v>
      </c>
      <c r="F264" s="15">
        <f>IF($A264="","",$D264*('HELOC Calculator'!$B$8/12))</f>
        <v>243.55769313407504</v>
      </c>
      <c r="G264" s="15">
        <f>IF($A264="","",IF($C264="Draw",$F264,'HELOC Calculator'!$B$18))</f>
        <v>362.35218755795904</v>
      </c>
      <c r="H264" s="15">
        <f t="shared" si="16"/>
        <v>118.794494423884</v>
      </c>
      <c r="I264" s="15">
        <f t="shared" si="17"/>
        <v>34265.821006857295</v>
      </c>
    </row>
    <row r="265" spans="1:9" ht="15" customHeight="1" x14ac:dyDescent="0.3">
      <c r="A265" s="13">
        <f>IF(264&lt;='HELOC Calculator'!$B$16,264,"")</f>
        <v>264</v>
      </c>
      <c r="B265" s="14">
        <f t="shared" si="18"/>
        <v>54210</v>
      </c>
      <c r="C265" s="13" t="str">
        <f>IF($A265="","",IF($A265&lt;='HELOC Calculator'!$B$14,"Draw","Repayment"))</f>
        <v>Repayment</v>
      </c>
      <c r="D265" s="15">
        <f t="shared" si="19"/>
        <v>34265.821006857295</v>
      </c>
      <c r="E265" s="15">
        <f>IF($A265="","",IF($C265="Draw",'HELOC Calculator'!$B$7,0))</f>
        <v>0</v>
      </c>
      <c r="F265" s="15">
        <f>IF($A265="","",$D265*('HELOC Calculator'!$B$8/12))</f>
        <v>242.71623213190585</v>
      </c>
      <c r="G265" s="15">
        <f>IF($A265="","",IF($C265="Draw",$F265,'HELOC Calculator'!$B$18))</f>
        <v>362.35218755795904</v>
      </c>
      <c r="H265" s="15">
        <f t="shared" si="16"/>
        <v>119.63595542605319</v>
      </c>
      <c r="I265" s="15">
        <f t="shared" si="17"/>
        <v>34146.185051431239</v>
      </c>
    </row>
    <row r="266" spans="1:9" ht="15" customHeight="1" x14ac:dyDescent="0.3">
      <c r="A266" s="13">
        <f>IF(265&lt;='HELOC Calculator'!$B$16,265,"")</f>
        <v>265</v>
      </c>
      <c r="B266" s="14">
        <f t="shared" si="18"/>
        <v>54240</v>
      </c>
      <c r="C266" s="13" t="str">
        <f>IF($A266="","",IF($A266&lt;='HELOC Calculator'!$B$14,"Draw","Repayment"))</f>
        <v>Repayment</v>
      </c>
      <c r="D266" s="15">
        <f t="shared" si="19"/>
        <v>34146.185051431239</v>
      </c>
      <c r="E266" s="15">
        <f>IF($A266="","",IF($C266="Draw",'HELOC Calculator'!$B$7,0))</f>
        <v>0</v>
      </c>
      <c r="F266" s="15">
        <f>IF($A266="","",$D266*('HELOC Calculator'!$B$8/12))</f>
        <v>241.8688107809713</v>
      </c>
      <c r="G266" s="15">
        <f>IF($A266="","",IF($C266="Draw",$F266,'HELOC Calculator'!$B$18))</f>
        <v>362.35218755795904</v>
      </c>
      <c r="H266" s="15">
        <f t="shared" si="16"/>
        <v>120.48337677698774</v>
      </c>
      <c r="I266" s="15">
        <f t="shared" si="17"/>
        <v>34025.70167465425</v>
      </c>
    </row>
    <row r="267" spans="1:9" ht="15" customHeight="1" x14ac:dyDescent="0.3">
      <c r="A267" s="13">
        <f>IF(266&lt;='HELOC Calculator'!$B$16,266,"")</f>
        <v>266</v>
      </c>
      <c r="B267" s="14">
        <f t="shared" si="18"/>
        <v>54271</v>
      </c>
      <c r="C267" s="13" t="str">
        <f>IF($A267="","",IF($A267&lt;='HELOC Calculator'!$B$14,"Draw","Repayment"))</f>
        <v>Repayment</v>
      </c>
      <c r="D267" s="15">
        <f t="shared" si="19"/>
        <v>34025.70167465425</v>
      </c>
      <c r="E267" s="15">
        <f>IF($A267="","",IF($C267="Draw",'HELOC Calculator'!$B$7,0))</f>
        <v>0</v>
      </c>
      <c r="F267" s="15">
        <f>IF($A267="","",$D267*('HELOC Calculator'!$B$8/12))</f>
        <v>241.01538686213428</v>
      </c>
      <c r="G267" s="15">
        <f>IF($A267="","",IF($C267="Draw",$F267,'HELOC Calculator'!$B$18))</f>
        <v>362.35218755795904</v>
      </c>
      <c r="H267" s="15">
        <f t="shared" si="16"/>
        <v>121.33680069582476</v>
      </c>
      <c r="I267" s="15">
        <f t="shared" si="17"/>
        <v>33904.364873958424</v>
      </c>
    </row>
    <row r="268" spans="1:9" ht="15" customHeight="1" x14ac:dyDescent="0.3">
      <c r="A268" s="13">
        <f>IF(267&lt;='HELOC Calculator'!$B$16,267,"")</f>
        <v>267</v>
      </c>
      <c r="B268" s="14">
        <f t="shared" si="18"/>
        <v>54302</v>
      </c>
      <c r="C268" s="13" t="str">
        <f>IF($A268="","",IF($A268&lt;='HELOC Calculator'!$B$14,"Draw","Repayment"))</f>
        <v>Repayment</v>
      </c>
      <c r="D268" s="15">
        <f t="shared" si="19"/>
        <v>33904.364873958424</v>
      </c>
      <c r="E268" s="15">
        <f>IF($A268="","",IF($C268="Draw",'HELOC Calculator'!$B$7,0))</f>
        <v>0</v>
      </c>
      <c r="F268" s="15">
        <f>IF($A268="","",$D268*('HELOC Calculator'!$B$8/12))</f>
        <v>240.15591785720551</v>
      </c>
      <c r="G268" s="15">
        <f>IF($A268="","",IF($C268="Draw",$F268,'HELOC Calculator'!$B$18))</f>
        <v>362.35218755795904</v>
      </c>
      <c r="H268" s="15">
        <f t="shared" si="16"/>
        <v>122.19626970075353</v>
      </c>
      <c r="I268" s="15">
        <f t="shared" si="17"/>
        <v>33782.168604257669</v>
      </c>
    </row>
    <row r="269" spans="1:9" ht="15" customHeight="1" x14ac:dyDescent="0.3">
      <c r="A269" s="13">
        <f>IF(268&lt;='HELOC Calculator'!$B$16,268,"")</f>
        <v>268</v>
      </c>
      <c r="B269" s="14">
        <f t="shared" si="18"/>
        <v>54332</v>
      </c>
      <c r="C269" s="13" t="str">
        <f>IF($A269="","",IF($A269&lt;='HELOC Calculator'!$B$14,"Draw","Repayment"))</f>
        <v>Repayment</v>
      </c>
      <c r="D269" s="15">
        <f t="shared" si="19"/>
        <v>33782.168604257669</v>
      </c>
      <c r="E269" s="15">
        <f>IF($A269="","",IF($C269="Draw",'HELOC Calculator'!$B$7,0))</f>
        <v>0</v>
      </c>
      <c r="F269" s="15">
        <f>IF($A269="","",$D269*('HELOC Calculator'!$B$8/12))</f>
        <v>239.29036094682519</v>
      </c>
      <c r="G269" s="15">
        <f>IF($A269="","",IF($C269="Draw",$F269,'HELOC Calculator'!$B$18))</f>
        <v>362.35218755795904</v>
      </c>
      <c r="H269" s="15">
        <f t="shared" si="16"/>
        <v>123.06182661113385</v>
      </c>
      <c r="I269" s="15">
        <f t="shared" si="17"/>
        <v>33659.106777646535</v>
      </c>
    </row>
    <row r="270" spans="1:9" ht="15" customHeight="1" x14ac:dyDescent="0.3">
      <c r="A270" s="13">
        <f>IF(269&lt;='HELOC Calculator'!$B$16,269,"")</f>
        <v>269</v>
      </c>
      <c r="B270" s="14">
        <f t="shared" si="18"/>
        <v>54363</v>
      </c>
      <c r="C270" s="13" t="str">
        <f>IF($A270="","",IF($A270&lt;='HELOC Calculator'!$B$14,"Draw","Repayment"))</f>
        <v>Repayment</v>
      </c>
      <c r="D270" s="15">
        <f t="shared" si="19"/>
        <v>33659.106777646535</v>
      </c>
      <c r="E270" s="15">
        <f>IF($A270="","",IF($C270="Draw",'HELOC Calculator'!$B$7,0))</f>
        <v>0</v>
      </c>
      <c r="F270" s="15">
        <f>IF($A270="","",$D270*('HELOC Calculator'!$B$8/12))</f>
        <v>238.41867300832965</v>
      </c>
      <c r="G270" s="15">
        <f>IF($A270="","",IF($C270="Draw",$F270,'HELOC Calculator'!$B$18))</f>
        <v>362.35218755795904</v>
      </c>
      <c r="H270" s="15">
        <f t="shared" si="16"/>
        <v>123.93351454962939</v>
      </c>
      <c r="I270" s="15">
        <f t="shared" si="17"/>
        <v>33535.173263096905</v>
      </c>
    </row>
    <row r="271" spans="1:9" ht="15" customHeight="1" x14ac:dyDescent="0.3">
      <c r="A271" s="13">
        <f>IF(270&lt;='HELOC Calculator'!$B$16,270,"")</f>
        <v>270</v>
      </c>
      <c r="B271" s="14">
        <f t="shared" si="18"/>
        <v>54393</v>
      </c>
      <c r="C271" s="13" t="str">
        <f>IF($A271="","",IF($A271&lt;='HELOC Calculator'!$B$14,"Draw","Repayment"))</f>
        <v>Repayment</v>
      </c>
      <c r="D271" s="15">
        <f t="shared" si="19"/>
        <v>33535.173263096905</v>
      </c>
      <c r="E271" s="15">
        <f>IF($A271="","",IF($C271="Draw",'HELOC Calculator'!$B$7,0))</f>
        <v>0</v>
      </c>
      <c r="F271" s="15">
        <f>IF($A271="","",$D271*('HELOC Calculator'!$B$8/12))</f>
        <v>237.5408106136031</v>
      </c>
      <c r="G271" s="15">
        <f>IF($A271="","",IF($C271="Draw",$F271,'HELOC Calculator'!$B$18))</f>
        <v>362.35218755795904</v>
      </c>
      <c r="H271" s="15">
        <f t="shared" si="16"/>
        <v>124.81137694435594</v>
      </c>
      <c r="I271" s="15">
        <f t="shared" si="17"/>
        <v>33410.361886152547</v>
      </c>
    </row>
    <row r="272" spans="1:9" ht="15" customHeight="1" x14ac:dyDescent="0.3">
      <c r="A272" s="13">
        <f>IF(271&lt;='HELOC Calculator'!$B$16,271,"")</f>
        <v>271</v>
      </c>
      <c r="B272" s="14">
        <f t="shared" si="18"/>
        <v>54424</v>
      </c>
      <c r="C272" s="13" t="str">
        <f>IF($A272="","",IF($A272&lt;='HELOC Calculator'!$B$14,"Draw","Repayment"))</f>
        <v>Repayment</v>
      </c>
      <c r="D272" s="15">
        <f t="shared" si="19"/>
        <v>33410.361886152547</v>
      </c>
      <c r="E272" s="15">
        <f>IF($A272="","",IF($C272="Draw",'HELOC Calculator'!$B$7,0))</f>
        <v>0</v>
      </c>
      <c r="F272" s="15">
        <f>IF($A272="","",$D272*('HELOC Calculator'!$B$8/12))</f>
        <v>236.65673002691389</v>
      </c>
      <c r="G272" s="15">
        <f>IF($A272="","",IF($C272="Draw",$F272,'HELOC Calculator'!$B$18))</f>
        <v>362.35218755795904</v>
      </c>
      <c r="H272" s="15">
        <f t="shared" si="16"/>
        <v>125.69545753104515</v>
      </c>
      <c r="I272" s="15">
        <f t="shared" si="17"/>
        <v>33284.666428621502</v>
      </c>
    </row>
    <row r="273" spans="1:9" ht="15" customHeight="1" x14ac:dyDescent="0.3">
      <c r="A273" s="13">
        <f>IF(272&lt;='HELOC Calculator'!$B$16,272,"")</f>
        <v>272</v>
      </c>
      <c r="B273" s="14">
        <f t="shared" si="18"/>
        <v>54455</v>
      </c>
      <c r="C273" s="13" t="str">
        <f>IF($A273="","",IF($A273&lt;='HELOC Calculator'!$B$14,"Draw","Repayment"))</f>
        <v>Repayment</v>
      </c>
      <c r="D273" s="15">
        <f t="shared" si="19"/>
        <v>33284.666428621502</v>
      </c>
      <c r="E273" s="15">
        <f>IF($A273="","",IF($C273="Draw",'HELOC Calculator'!$B$7,0))</f>
        <v>0</v>
      </c>
      <c r="F273" s="15">
        <f>IF($A273="","",$D273*('HELOC Calculator'!$B$8/12))</f>
        <v>235.76638720273564</v>
      </c>
      <c r="G273" s="15">
        <f>IF($A273="","",IF($C273="Draw",$F273,'HELOC Calculator'!$B$18))</f>
        <v>362.35218755795904</v>
      </c>
      <c r="H273" s="15">
        <f t="shared" si="16"/>
        <v>126.5858003552234</v>
      </c>
      <c r="I273" s="15">
        <f t="shared" si="17"/>
        <v>33158.080628266282</v>
      </c>
    </row>
    <row r="274" spans="1:9" ht="15" customHeight="1" x14ac:dyDescent="0.3">
      <c r="A274" s="13">
        <f>IF(273&lt;='HELOC Calculator'!$B$16,273,"")</f>
        <v>273</v>
      </c>
      <c r="B274" s="14">
        <f t="shared" si="18"/>
        <v>54483</v>
      </c>
      <c r="C274" s="13" t="str">
        <f>IF($A274="","",IF($A274&lt;='HELOC Calculator'!$B$14,"Draw","Repayment"))</f>
        <v>Repayment</v>
      </c>
      <c r="D274" s="15">
        <f t="shared" si="19"/>
        <v>33158.080628266282</v>
      </c>
      <c r="E274" s="15">
        <f>IF($A274="","",IF($C274="Draw",'HELOC Calculator'!$B$7,0))</f>
        <v>0</v>
      </c>
      <c r="F274" s="15">
        <f>IF($A274="","",$D274*('HELOC Calculator'!$B$8/12))</f>
        <v>234.86973778355284</v>
      </c>
      <c r="G274" s="15">
        <f>IF($A274="","",IF($C274="Draw",$F274,'HELOC Calculator'!$B$18))</f>
        <v>362.35218755795904</v>
      </c>
      <c r="H274" s="15">
        <f t="shared" si="16"/>
        <v>127.48244977440621</v>
      </c>
      <c r="I274" s="15">
        <f t="shared" si="17"/>
        <v>33030.598178491877</v>
      </c>
    </row>
    <row r="275" spans="1:9" ht="15" customHeight="1" x14ac:dyDescent="0.3">
      <c r="A275" s="13">
        <f>IF(274&lt;='HELOC Calculator'!$B$16,274,"")</f>
        <v>274</v>
      </c>
      <c r="B275" s="14">
        <f t="shared" si="18"/>
        <v>54514</v>
      </c>
      <c r="C275" s="13" t="str">
        <f>IF($A275="","",IF($A275&lt;='HELOC Calculator'!$B$14,"Draw","Repayment"))</f>
        <v>Repayment</v>
      </c>
      <c r="D275" s="15">
        <f t="shared" si="19"/>
        <v>33030.598178491877</v>
      </c>
      <c r="E275" s="15">
        <f>IF($A275="","",IF($C275="Draw",'HELOC Calculator'!$B$7,0))</f>
        <v>0</v>
      </c>
      <c r="F275" s="15">
        <f>IF($A275="","",$D275*('HELOC Calculator'!$B$8/12))</f>
        <v>233.96673709765082</v>
      </c>
      <c r="G275" s="15">
        <f>IF($A275="","",IF($C275="Draw",$F275,'HELOC Calculator'!$B$18))</f>
        <v>362.35218755795904</v>
      </c>
      <c r="H275" s="15">
        <f t="shared" si="16"/>
        <v>128.38545046030822</v>
      </c>
      <c r="I275" s="15">
        <f t="shared" si="17"/>
        <v>32902.212728031569</v>
      </c>
    </row>
    <row r="276" spans="1:9" ht="15" customHeight="1" x14ac:dyDescent="0.3">
      <c r="A276" s="13">
        <f>IF(275&lt;='HELOC Calculator'!$B$16,275,"")</f>
        <v>275</v>
      </c>
      <c r="B276" s="14">
        <f t="shared" si="18"/>
        <v>54544</v>
      </c>
      <c r="C276" s="13" t="str">
        <f>IF($A276="","",IF($A276&lt;='HELOC Calculator'!$B$14,"Draw","Repayment"))</f>
        <v>Repayment</v>
      </c>
      <c r="D276" s="15">
        <f t="shared" si="19"/>
        <v>32902.212728031569</v>
      </c>
      <c r="E276" s="15">
        <f>IF($A276="","",IF($C276="Draw",'HELOC Calculator'!$B$7,0))</f>
        <v>0</v>
      </c>
      <c r="F276" s="15">
        <f>IF($A276="","",$D276*('HELOC Calculator'!$B$8/12))</f>
        <v>233.05734015689029</v>
      </c>
      <c r="G276" s="15">
        <f>IF($A276="","",IF($C276="Draw",$F276,'HELOC Calculator'!$B$18))</f>
        <v>362.35218755795904</v>
      </c>
      <c r="H276" s="15">
        <f t="shared" si="16"/>
        <v>129.29484740106875</v>
      </c>
      <c r="I276" s="15">
        <f t="shared" si="17"/>
        <v>32772.917880630499</v>
      </c>
    </row>
    <row r="277" spans="1:9" ht="15" customHeight="1" x14ac:dyDescent="0.3">
      <c r="A277" s="13">
        <f>IF(276&lt;='HELOC Calculator'!$B$16,276,"")</f>
        <v>276</v>
      </c>
      <c r="B277" s="14">
        <f t="shared" si="18"/>
        <v>54575</v>
      </c>
      <c r="C277" s="13" t="str">
        <f>IF($A277="","",IF($A277&lt;='HELOC Calculator'!$B$14,"Draw","Repayment"))</f>
        <v>Repayment</v>
      </c>
      <c r="D277" s="15">
        <f t="shared" si="19"/>
        <v>32772.917880630499</v>
      </c>
      <c r="E277" s="15">
        <f>IF($A277="","",IF($C277="Draw",'HELOC Calculator'!$B$7,0))</f>
        <v>0</v>
      </c>
      <c r="F277" s="15">
        <f>IF($A277="","",$D277*('HELOC Calculator'!$B$8/12))</f>
        <v>232.14150165446605</v>
      </c>
      <c r="G277" s="15">
        <f>IF($A277="","",IF($C277="Draw",$F277,'HELOC Calculator'!$B$18))</f>
        <v>362.35218755795904</v>
      </c>
      <c r="H277" s="15">
        <f t="shared" si="16"/>
        <v>130.21068590349299</v>
      </c>
      <c r="I277" s="15">
        <f t="shared" si="17"/>
        <v>32642.707194727005</v>
      </c>
    </row>
    <row r="278" spans="1:9" ht="15" customHeight="1" x14ac:dyDescent="0.3">
      <c r="A278" s="13">
        <f>IF(277&lt;='HELOC Calculator'!$B$16,277,"")</f>
        <v>277</v>
      </c>
      <c r="B278" s="14">
        <f t="shared" si="18"/>
        <v>54605</v>
      </c>
      <c r="C278" s="13" t="str">
        <f>IF($A278="","",IF($A278&lt;='HELOC Calculator'!$B$14,"Draw","Repayment"))</f>
        <v>Repayment</v>
      </c>
      <c r="D278" s="15">
        <f t="shared" si="19"/>
        <v>32642.707194727005</v>
      </c>
      <c r="E278" s="15">
        <f>IF($A278="","",IF($C278="Draw",'HELOC Calculator'!$B$7,0))</f>
        <v>0</v>
      </c>
      <c r="F278" s="15">
        <f>IF($A278="","",$D278*('HELOC Calculator'!$B$8/12))</f>
        <v>231.21917596264964</v>
      </c>
      <c r="G278" s="15">
        <f>IF($A278="","",IF($C278="Draw",$F278,'HELOC Calculator'!$B$18))</f>
        <v>362.35218755795904</v>
      </c>
      <c r="H278" s="15">
        <f t="shared" si="16"/>
        <v>131.1330115953094</v>
      </c>
      <c r="I278" s="15">
        <f t="shared" si="17"/>
        <v>32511.574183131695</v>
      </c>
    </row>
    <row r="279" spans="1:9" ht="15" customHeight="1" x14ac:dyDescent="0.3">
      <c r="A279" s="13">
        <f>IF(278&lt;='HELOC Calculator'!$B$16,278,"")</f>
        <v>278</v>
      </c>
      <c r="B279" s="14">
        <f t="shared" si="18"/>
        <v>54636</v>
      </c>
      <c r="C279" s="13" t="str">
        <f>IF($A279="","",IF($A279&lt;='HELOC Calculator'!$B$14,"Draw","Repayment"))</f>
        <v>Repayment</v>
      </c>
      <c r="D279" s="15">
        <f t="shared" si="19"/>
        <v>32511.574183131695</v>
      </c>
      <c r="E279" s="15">
        <f>IF($A279="","",IF($C279="Draw",'HELOC Calculator'!$B$7,0))</f>
        <v>0</v>
      </c>
      <c r="F279" s="15">
        <f>IF($A279="","",$D279*('HELOC Calculator'!$B$8/12))</f>
        <v>230.2903171305162</v>
      </c>
      <c r="G279" s="15">
        <f>IF($A279="","",IF($C279="Draw",$F279,'HELOC Calculator'!$B$18))</f>
        <v>362.35218755795904</v>
      </c>
      <c r="H279" s="15">
        <f t="shared" si="16"/>
        <v>132.06187042744284</v>
      </c>
      <c r="I279" s="15">
        <f t="shared" si="17"/>
        <v>32379.512312704253</v>
      </c>
    </row>
    <row r="280" spans="1:9" ht="15" customHeight="1" x14ac:dyDescent="0.3">
      <c r="A280" s="13">
        <f>IF(279&lt;='HELOC Calculator'!$B$16,279,"")</f>
        <v>279</v>
      </c>
      <c r="B280" s="14">
        <f t="shared" si="18"/>
        <v>54667</v>
      </c>
      <c r="C280" s="13" t="str">
        <f>IF($A280="","",IF($A280&lt;='HELOC Calculator'!$B$14,"Draw","Repayment"))</f>
        <v>Repayment</v>
      </c>
      <c r="D280" s="15">
        <f t="shared" si="19"/>
        <v>32379.512312704253</v>
      </c>
      <c r="E280" s="15">
        <f>IF($A280="","",IF($C280="Draw",'HELOC Calculator'!$B$7,0))</f>
        <v>0</v>
      </c>
      <c r="F280" s="15">
        <f>IF($A280="","",$D280*('HELOC Calculator'!$B$8/12))</f>
        <v>229.35487888165514</v>
      </c>
      <c r="G280" s="15">
        <f>IF($A280="","",IF($C280="Draw",$F280,'HELOC Calculator'!$B$18))</f>
        <v>362.35218755795904</v>
      </c>
      <c r="H280" s="15">
        <f t="shared" si="16"/>
        <v>132.9973086763039</v>
      </c>
      <c r="I280" s="15">
        <f t="shared" si="17"/>
        <v>32246.515004027948</v>
      </c>
    </row>
    <row r="281" spans="1:9" ht="15" customHeight="1" x14ac:dyDescent="0.3">
      <c r="A281" s="13">
        <f>IF(280&lt;='HELOC Calculator'!$B$16,280,"")</f>
        <v>280</v>
      </c>
      <c r="B281" s="14">
        <f t="shared" si="18"/>
        <v>54697</v>
      </c>
      <c r="C281" s="13" t="str">
        <f>IF($A281="","",IF($A281&lt;='HELOC Calculator'!$B$14,"Draw","Repayment"))</f>
        <v>Repayment</v>
      </c>
      <c r="D281" s="15">
        <f t="shared" si="19"/>
        <v>32246.515004027948</v>
      </c>
      <c r="E281" s="15">
        <f>IF($A281="","",IF($C281="Draw",'HELOC Calculator'!$B$7,0))</f>
        <v>0</v>
      </c>
      <c r="F281" s="15">
        <f>IF($A281="","",$D281*('HELOC Calculator'!$B$8/12))</f>
        <v>228.41281461186463</v>
      </c>
      <c r="G281" s="15">
        <f>IF($A281="","",IF($C281="Draw",$F281,'HELOC Calculator'!$B$18))</f>
        <v>362.35218755795904</v>
      </c>
      <c r="H281" s="15">
        <f t="shared" si="16"/>
        <v>133.93937294609441</v>
      </c>
      <c r="I281" s="15">
        <f t="shared" si="17"/>
        <v>32112.575631081854</v>
      </c>
    </row>
    <row r="282" spans="1:9" ht="15" customHeight="1" x14ac:dyDescent="0.3">
      <c r="A282" s="13">
        <f>IF(281&lt;='HELOC Calculator'!$B$16,281,"")</f>
        <v>281</v>
      </c>
      <c r="B282" s="14">
        <f t="shared" si="18"/>
        <v>54728</v>
      </c>
      <c r="C282" s="13" t="str">
        <f>IF($A282="","",IF($A282&lt;='HELOC Calculator'!$B$14,"Draw","Repayment"))</f>
        <v>Repayment</v>
      </c>
      <c r="D282" s="15">
        <f t="shared" si="19"/>
        <v>32112.575631081854</v>
      </c>
      <c r="E282" s="15">
        <f>IF($A282="","",IF($C282="Draw",'HELOC Calculator'!$B$7,0))</f>
        <v>0</v>
      </c>
      <c r="F282" s="15">
        <f>IF($A282="","",$D282*('HELOC Calculator'!$B$8/12))</f>
        <v>227.46407738682981</v>
      </c>
      <c r="G282" s="15">
        <f>IF($A282="","",IF($C282="Draw",$F282,'HELOC Calculator'!$B$18))</f>
        <v>362.35218755795904</v>
      </c>
      <c r="H282" s="15">
        <f t="shared" si="16"/>
        <v>134.88811017112923</v>
      </c>
      <c r="I282" s="15">
        <f t="shared" si="17"/>
        <v>31977.687520910724</v>
      </c>
    </row>
    <row r="283" spans="1:9" ht="15" customHeight="1" x14ac:dyDescent="0.3">
      <c r="A283" s="13">
        <f>IF(282&lt;='HELOC Calculator'!$B$16,282,"")</f>
        <v>282</v>
      </c>
      <c r="B283" s="14">
        <f t="shared" si="18"/>
        <v>54758</v>
      </c>
      <c r="C283" s="13" t="str">
        <f>IF($A283="","",IF($A283&lt;='HELOC Calculator'!$B$14,"Draw","Repayment"))</f>
        <v>Repayment</v>
      </c>
      <c r="D283" s="15">
        <f t="shared" si="19"/>
        <v>31977.687520910724</v>
      </c>
      <c r="E283" s="15">
        <f>IF($A283="","",IF($C283="Draw",'HELOC Calculator'!$B$7,0))</f>
        <v>0</v>
      </c>
      <c r="F283" s="15">
        <f>IF($A283="","",$D283*('HELOC Calculator'!$B$8/12))</f>
        <v>226.5086199397843</v>
      </c>
      <c r="G283" s="15">
        <f>IF($A283="","",IF($C283="Draw",$F283,'HELOC Calculator'!$B$18))</f>
        <v>362.35218755795904</v>
      </c>
      <c r="H283" s="15">
        <f t="shared" si="16"/>
        <v>135.84356761817475</v>
      </c>
      <c r="I283" s="15">
        <f t="shared" si="17"/>
        <v>31841.843953292548</v>
      </c>
    </row>
    <row r="284" spans="1:9" ht="15" customHeight="1" x14ac:dyDescent="0.3">
      <c r="A284" s="13">
        <f>IF(283&lt;='HELOC Calculator'!$B$16,283,"")</f>
        <v>283</v>
      </c>
      <c r="B284" s="14">
        <f t="shared" si="18"/>
        <v>54789</v>
      </c>
      <c r="C284" s="13" t="str">
        <f>IF($A284="","",IF($A284&lt;='HELOC Calculator'!$B$14,"Draw","Repayment"))</f>
        <v>Repayment</v>
      </c>
      <c r="D284" s="15">
        <f t="shared" si="19"/>
        <v>31841.843953292548</v>
      </c>
      <c r="E284" s="15">
        <f>IF($A284="","",IF($C284="Draw",'HELOC Calculator'!$B$7,0))</f>
        <v>0</v>
      </c>
      <c r="F284" s="15">
        <f>IF($A284="","",$D284*('HELOC Calculator'!$B$8/12))</f>
        <v>225.54639466915557</v>
      </c>
      <c r="G284" s="15">
        <f>IF($A284="","",IF($C284="Draw",$F284,'HELOC Calculator'!$B$18))</f>
        <v>362.35218755795904</v>
      </c>
      <c r="H284" s="15">
        <f t="shared" si="16"/>
        <v>136.80579288880347</v>
      </c>
      <c r="I284" s="15">
        <f t="shared" si="17"/>
        <v>31705.038160403743</v>
      </c>
    </row>
    <row r="285" spans="1:9" ht="15" customHeight="1" x14ac:dyDescent="0.3">
      <c r="A285" s="13">
        <f>IF(284&lt;='HELOC Calculator'!$B$16,284,"")</f>
        <v>284</v>
      </c>
      <c r="B285" s="14">
        <f t="shared" si="18"/>
        <v>54820</v>
      </c>
      <c r="C285" s="13" t="str">
        <f>IF($A285="","",IF($A285&lt;='HELOC Calculator'!$B$14,"Draw","Repayment"))</f>
        <v>Repayment</v>
      </c>
      <c r="D285" s="15">
        <f t="shared" si="19"/>
        <v>31705.038160403743</v>
      </c>
      <c r="E285" s="15">
        <f>IF($A285="","",IF($C285="Draw",'HELOC Calculator'!$B$7,0))</f>
        <v>0</v>
      </c>
      <c r="F285" s="15">
        <f>IF($A285="","",$D285*('HELOC Calculator'!$B$8/12))</f>
        <v>224.57735363619321</v>
      </c>
      <c r="G285" s="15">
        <f>IF($A285="","",IF($C285="Draw",$F285,'HELOC Calculator'!$B$18))</f>
        <v>362.35218755795904</v>
      </c>
      <c r="H285" s="15">
        <f t="shared" si="16"/>
        <v>137.77483392176583</v>
      </c>
      <c r="I285" s="15">
        <f t="shared" si="17"/>
        <v>31567.263326481978</v>
      </c>
    </row>
    <row r="286" spans="1:9" ht="15" customHeight="1" x14ac:dyDescent="0.3">
      <c r="A286" s="13">
        <f>IF(285&lt;='HELOC Calculator'!$B$16,285,"")</f>
        <v>285</v>
      </c>
      <c r="B286" s="14">
        <f t="shared" si="18"/>
        <v>54848</v>
      </c>
      <c r="C286" s="13" t="str">
        <f>IF($A286="","",IF($A286&lt;='HELOC Calculator'!$B$14,"Draw","Repayment"))</f>
        <v>Repayment</v>
      </c>
      <c r="D286" s="15">
        <f t="shared" si="19"/>
        <v>31567.263326481978</v>
      </c>
      <c r="E286" s="15">
        <f>IF($A286="","",IF($C286="Draw",'HELOC Calculator'!$B$7,0))</f>
        <v>0</v>
      </c>
      <c r="F286" s="15">
        <f>IF($A286="","",$D286*('HELOC Calculator'!$B$8/12))</f>
        <v>223.60144856258069</v>
      </c>
      <c r="G286" s="15">
        <f>IF($A286="","",IF($C286="Draw",$F286,'HELOC Calculator'!$B$18))</f>
        <v>362.35218755795904</v>
      </c>
      <c r="H286" s="15">
        <f t="shared" si="16"/>
        <v>138.75073899537836</v>
      </c>
      <c r="I286" s="15">
        <f t="shared" si="17"/>
        <v>31428.512587486599</v>
      </c>
    </row>
    <row r="287" spans="1:9" ht="15" customHeight="1" x14ac:dyDescent="0.3">
      <c r="A287" s="13">
        <f>IF(286&lt;='HELOC Calculator'!$B$16,286,"")</f>
        <v>286</v>
      </c>
      <c r="B287" s="14">
        <f t="shared" si="18"/>
        <v>54879</v>
      </c>
      <c r="C287" s="13" t="str">
        <f>IF($A287="","",IF($A287&lt;='HELOC Calculator'!$B$14,"Draw","Repayment"))</f>
        <v>Repayment</v>
      </c>
      <c r="D287" s="15">
        <f t="shared" si="19"/>
        <v>31428.512587486599</v>
      </c>
      <c r="E287" s="15">
        <f>IF($A287="","",IF($C287="Draw",'HELOC Calculator'!$B$7,0))</f>
        <v>0</v>
      </c>
      <c r="F287" s="15">
        <f>IF($A287="","",$D287*('HELOC Calculator'!$B$8/12))</f>
        <v>222.61863082803009</v>
      </c>
      <c r="G287" s="15">
        <f>IF($A287="","",IF($C287="Draw",$F287,'HELOC Calculator'!$B$18))</f>
        <v>362.35218755795904</v>
      </c>
      <c r="H287" s="15">
        <f t="shared" si="16"/>
        <v>139.73355672992895</v>
      </c>
      <c r="I287" s="15">
        <f t="shared" si="17"/>
        <v>31288.779030756668</v>
      </c>
    </row>
    <row r="288" spans="1:9" ht="15" customHeight="1" x14ac:dyDescent="0.3">
      <c r="A288" s="13">
        <f>IF(287&lt;='HELOC Calculator'!$B$16,287,"")</f>
        <v>287</v>
      </c>
      <c r="B288" s="14">
        <f t="shared" si="18"/>
        <v>54909</v>
      </c>
      <c r="C288" s="13" t="str">
        <f>IF($A288="","",IF($A288&lt;='HELOC Calculator'!$B$14,"Draw","Repayment"))</f>
        <v>Repayment</v>
      </c>
      <c r="D288" s="15">
        <f t="shared" si="19"/>
        <v>31288.779030756668</v>
      </c>
      <c r="E288" s="15">
        <f>IF($A288="","",IF($C288="Draw",'HELOC Calculator'!$B$7,0))</f>
        <v>0</v>
      </c>
      <c r="F288" s="15">
        <f>IF($A288="","",$D288*('HELOC Calculator'!$B$8/12))</f>
        <v>221.62885146785976</v>
      </c>
      <c r="G288" s="15">
        <f>IF($A288="","",IF($C288="Draw",$F288,'HELOC Calculator'!$B$18))</f>
        <v>362.35218755795904</v>
      </c>
      <c r="H288" s="15">
        <f t="shared" si="16"/>
        <v>140.72333609009928</v>
      </c>
      <c r="I288" s="15">
        <f t="shared" si="17"/>
        <v>31148.055694666567</v>
      </c>
    </row>
    <row r="289" spans="1:9" ht="15" customHeight="1" x14ac:dyDescent="0.3">
      <c r="A289" s="13">
        <f>IF(288&lt;='HELOC Calculator'!$B$16,288,"")</f>
        <v>288</v>
      </c>
      <c r="B289" s="14">
        <f t="shared" si="18"/>
        <v>54940</v>
      </c>
      <c r="C289" s="13" t="str">
        <f>IF($A289="","",IF($A289&lt;='HELOC Calculator'!$B$14,"Draw","Repayment"))</f>
        <v>Repayment</v>
      </c>
      <c r="D289" s="15">
        <f t="shared" si="19"/>
        <v>31148.055694666567</v>
      </c>
      <c r="E289" s="15">
        <f>IF($A289="","",IF($C289="Draw",'HELOC Calculator'!$B$7,0))</f>
        <v>0</v>
      </c>
      <c r="F289" s="15">
        <f>IF($A289="","",$D289*('HELOC Calculator'!$B$8/12))</f>
        <v>220.63206117055486</v>
      </c>
      <c r="G289" s="15">
        <f>IF($A289="","",IF($C289="Draw",$F289,'HELOC Calculator'!$B$18))</f>
        <v>362.35218755795904</v>
      </c>
      <c r="H289" s="15">
        <f t="shared" si="16"/>
        <v>141.72012638740418</v>
      </c>
      <c r="I289" s="15">
        <f t="shared" si="17"/>
        <v>31006.335568279163</v>
      </c>
    </row>
    <row r="290" spans="1:9" ht="15" customHeight="1" x14ac:dyDescent="0.3">
      <c r="A290" s="13">
        <f>IF(289&lt;='HELOC Calculator'!$B$16,289,"")</f>
        <v>289</v>
      </c>
      <c r="B290" s="14">
        <f t="shared" si="18"/>
        <v>54970</v>
      </c>
      <c r="C290" s="13" t="str">
        <f>IF($A290="","",IF($A290&lt;='HELOC Calculator'!$B$14,"Draw","Repayment"))</f>
        <v>Repayment</v>
      </c>
      <c r="D290" s="15">
        <f t="shared" si="19"/>
        <v>31006.335568279163</v>
      </c>
      <c r="E290" s="15">
        <f>IF($A290="","",IF($C290="Draw",'HELOC Calculator'!$B$7,0))</f>
        <v>0</v>
      </c>
      <c r="F290" s="15">
        <f>IF($A290="","",$D290*('HELOC Calculator'!$B$8/12))</f>
        <v>219.62821027531075</v>
      </c>
      <c r="G290" s="15">
        <f>IF($A290="","",IF($C290="Draw",$F290,'HELOC Calculator'!$B$18))</f>
        <v>362.35218755795904</v>
      </c>
      <c r="H290" s="15">
        <f t="shared" si="16"/>
        <v>142.72397728264829</v>
      </c>
      <c r="I290" s="15">
        <f t="shared" si="17"/>
        <v>30863.611590996516</v>
      </c>
    </row>
    <row r="291" spans="1:9" ht="15" customHeight="1" x14ac:dyDescent="0.3">
      <c r="A291" s="13">
        <f>IF(290&lt;='HELOC Calculator'!$B$16,290,"")</f>
        <v>290</v>
      </c>
      <c r="B291" s="14">
        <f t="shared" si="18"/>
        <v>55001</v>
      </c>
      <c r="C291" s="13" t="str">
        <f>IF($A291="","",IF($A291&lt;='HELOC Calculator'!$B$14,"Draw","Repayment"))</f>
        <v>Repayment</v>
      </c>
      <c r="D291" s="15">
        <f t="shared" si="19"/>
        <v>30863.611590996516</v>
      </c>
      <c r="E291" s="15">
        <f>IF($A291="","",IF($C291="Draw",'HELOC Calculator'!$B$7,0))</f>
        <v>0</v>
      </c>
      <c r="F291" s="15">
        <f>IF($A291="","",$D291*('HELOC Calculator'!$B$8/12))</f>
        <v>218.61724876955867</v>
      </c>
      <c r="G291" s="15">
        <f>IF($A291="","",IF($C291="Draw",$F291,'HELOC Calculator'!$B$18))</f>
        <v>362.35218755795904</v>
      </c>
      <c r="H291" s="15">
        <f t="shared" si="16"/>
        <v>143.73493878840037</v>
      </c>
      <c r="I291" s="15">
        <f t="shared" si="17"/>
        <v>30719.876652208117</v>
      </c>
    </row>
    <row r="292" spans="1:9" ht="15" customHeight="1" x14ac:dyDescent="0.3">
      <c r="A292" s="13">
        <f>IF(291&lt;='HELOC Calculator'!$B$16,291,"")</f>
        <v>291</v>
      </c>
      <c r="B292" s="14">
        <f t="shared" si="18"/>
        <v>55032</v>
      </c>
      <c r="C292" s="13" t="str">
        <f>IF($A292="","",IF($A292&lt;='HELOC Calculator'!$B$14,"Draw","Repayment"))</f>
        <v>Repayment</v>
      </c>
      <c r="D292" s="15">
        <f t="shared" si="19"/>
        <v>30719.876652208117</v>
      </c>
      <c r="E292" s="15">
        <f>IF($A292="","",IF($C292="Draw",'HELOC Calculator'!$B$7,0))</f>
        <v>0</v>
      </c>
      <c r="F292" s="15">
        <f>IF($A292="","",$D292*('HELOC Calculator'!$B$8/12))</f>
        <v>217.59912628647419</v>
      </c>
      <c r="G292" s="15">
        <f>IF($A292="","",IF($C292="Draw",$F292,'HELOC Calculator'!$B$18))</f>
        <v>362.35218755795904</v>
      </c>
      <c r="H292" s="15">
        <f t="shared" si="16"/>
        <v>144.75306127148485</v>
      </c>
      <c r="I292" s="15">
        <f t="shared" si="17"/>
        <v>30575.123590936633</v>
      </c>
    </row>
    <row r="293" spans="1:9" ht="15" customHeight="1" x14ac:dyDescent="0.3">
      <c r="A293" s="13">
        <f>IF(292&lt;='HELOC Calculator'!$B$16,292,"")</f>
        <v>292</v>
      </c>
      <c r="B293" s="14">
        <f t="shared" si="18"/>
        <v>55062</v>
      </c>
      <c r="C293" s="13" t="str">
        <f>IF($A293="","",IF($A293&lt;='HELOC Calculator'!$B$14,"Draw","Repayment"))</f>
        <v>Repayment</v>
      </c>
      <c r="D293" s="15">
        <f t="shared" si="19"/>
        <v>30575.123590936633</v>
      </c>
      <c r="E293" s="15">
        <f>IF($A293="","",IF($C293="Draw",'HELOC Calculator'!$B$7,0))</f>
        <v>0</v>
      </c>
      <c r="F293" s="15">
        <f>IF($A293="","",$D293*('HELOC Calculator'!$B$8/12))</f>
        <v>216.57379210246785</v>
      </c>
      <c r="G293" s="15">
        <f>IF($A293="","",IF($C293="Draw",$F293,'HELOC Calculator'!$B$18))</f>
        <v>362.35218755795904</v>
      </c>
      <c r="H293" s="15">
        <f t="shared" si="16"/>
        <v>145.77839545549119</v>
      </c>
      <c r="I293" s="15">
        <f t="shared" si="17"/>
        <v>30429.345195481143</v>
      </c>
    </row>
    <row r="294" spans="1:9" ht="15" customHeight="1" x14ac:dyDescent="0.3">
      <c r="A294" s="13">
        <f>IF(293&lt;='HELOC Calculator'!$B$16,293,"")</f>
        <v>293</v>
      </c>
      <c r="B294" s="14">
        <f t="shared" si="18"/>
        <v>55093</v>
      </c>
      <c r="C294" s="13" t="str">
        <f>IF($A294="","",IF($A294&lt;='HELOC Calculator'!$B$14,"Draw","Repayment"))</f>
        <v>Repayment</v>
      </c>
      <c r="D294" s="15">
        <f t="shared" si="19"/>
        <v>30429.345195481143</v>
      </c>
      <c r="E294" s="15">
        <f>IF($A294="","",IF($C294="Draw",'HELOC Calculator'!$B$7,0))</f>
        <v>0</v>
      </c>
      <c r="F294" s="15">
        <f>IF($A294="","",$D294*('HELOC Calculator'!$B$8/12))</f>
        <v>215.5411951346581</v>
      </c>
      <c r="G294" s="15">
        <f>IF($A294="","",IF($C294="Draw",$F294,'HELOC Calculator'!$B$18))</f>
        <v>362.35218755795904</v>
      </c>
      <c r="H294" s="15">
        <f t="shared" si="16"/>
        <v>146.81099242330095</v>
      </c>
      <c r="I294" s="15">
        <f t="shared" si="17"/>
        <v>30282.534203057843</v>
      </c>
    </row>
    <row r="295" spans="1:9" ht="15" customHeight="1" x14ac:dyDescent="0.3">
      <c r="A295" s="13">
        <f>IF(294&lt;='HELOC Calculator'!$B$16,294,"")</f>
        <v>294</v>
      </c>
      <c r="B295" s="14">
        <f t="shared" si="18"/>
        <v>55123</v>
      </c>
      <c r="C295" s="13" t="str">
        <f>IF($A295="","",IF($A295&lt;='HELOC Calculator'!$B$14,"Draw","Repayment"))</f>
        <v>Repayment</v>
      </c>
      <c r="D295" s="15">
        <f t="shared" si="19"/>
        <v>30282.534203057843</v>
      </c>
      <c r="E295" s="15">
        <f>IF($A295="","",IF($C295="Draw",'HELOC Calculator'!$B$7,0))</f>
        <v>0</v>
      </c>
      <c r="F295" s="15">
        <f>IF($A295="","",$D295*('HELOC Calculator'!$B$8/12))</f>
        <v>214.5012839383264</v>
      </c>
      <c r="G295" s="15">
        <f>IF($A295="","",IF($C295="Draw",$F295,'HELOC Calculator'!$B$18))</f>
        <v>362.35218755795904</v>
      </c>
      <c r="H295" s="15">
        <f t="shared" si="16"/>
        <v>147.85090361963265</v>
      </c>
      <c r="I295" s="15">
        <f t="shared" si="17"/>
        <v>30134.683299438209</v>
      </c>
    </row>
    <row r="296" spans="1:9" ht="15" customHeight="1" x14ac:dyDescent="0.3">
      <c r="A296" s="13">
        <f>IF(295&lt;='HELOC Calculator'!$B$16,295,"")</f>
        <v>295</v>
      </c>
      <c r="B296" s="14">
        <f t="shared" si="18"/>
        <v>55154</v>
      </c>
      <c r="C296" s="13" t="str">
        <f>IF($A296="","",IF($A296&lt;='HELOC Calculator'!$B$14,"Draw","Repayment"))</f>
        <v>Repayment</v>
      </c>
      <c r="D296" s="15">
        <f t="shared" si="19"/>
        <v>30134.683299438209</v>
      </c>
      <c r="E296" s="15">
        <f>IF($A296="","",IF($C296="Draw",'HELOC Calculator'!$B$7,0))</f>
        <v>0</v>
      </c>
      <c r="F296" s="15">
        <f>IF($A296="","",$D296*('HELOC Calculator'!$B$8/12))</f>
        <v>213.45400670435399</v>
      </c>
      <c r="G296" s="15">
        <f>IF($A296="","",IF($C296="Draw",$F296,'HELOC Calculator'!$B$18))</f>
        <v>362.35218755795904</v>
      </c>
      <c r="H296" s="15">
        <f t="shared" si="16"/>
        <v>148.89818085360506</v>
      </c>
      <c r="I296" s="15">
        <f t="shared" si="17"/>
        <v>29985.785118584605</v>
      </c>
    </row>
    <row r="297" spans="1:9" ht="15" customHeight="1" x14ac:dyDescent="0.3">
      <c r="A297" s="13">
        <f>IF(296&lt;='HELOC Calculator'!$B$16,296,"")</f>
        <v>296</v>
      </c>
      <c r="B297" s="14">
        <f t="shared" si="18"/>
        <v>55185</v>
      </c>
      <c r="C297" s="13" t="str">
        <f>IF($A297="","",IF($A297&lt;='HELOC Calculator'!$B$14,"Draw","Repayment"))</f>
        <v>Repayment</v>
      </c>
      <c r="D297" s="15">
        <f t="shared" si="19"/>
        <v>29985.785118584605</v>
      </c>
      <c r="E297" s="15">
        <f>IF($A297="","",IF($C297="Draw",'HELOC Calculator'!$B$7,0))</f>
        <v>0</v>
      </c>
      <c r="F297" s="15">
        <f>IF($A297="","",$D297*('HELOC Calculator'!$B$8/12))</f>
        <v>212.39931125664097</v>
      </c>
      <c r="G297" s="15">
        <f>IF($A297="","",IF($C297="Draw",$F297,'HELOC Calculator'!$B$18))</f>
        <v>362.35218755795904</v>
      </c>
      <c r="H297" s="15">
        <f t="shared" si="16"/>
        <v>149.95287630131807</v>
      </c>
      <c r="I297" s="15">
        <f t="shared" si="17"/>
        <v>29835.832242283286</v>
      </c>
    </row>
    <row r="298" spans="1:9" ht="15" customHeight="1" x14ac:dyDescent="0.3">
      <c r="A298" s="13">
        <f>IF(297&lt;='HELOC Calculator'!$B$16,297,"")</f>
        <v>297</v>
      </c>
      <c r="B298" s="14">
        <f t="shared" si="18"/>
        <v>55213</v>
      </c>
      <c r="C298" s="13" t="str">
        <f>IF($A298="","",IF($A298&lt;='HELOC Calculator'!$B$14,"Draw","Repayment"))</f>
        <v>Repayment</v>
      </c>
      <c r="D298" s="15">
        <f t="shared" si="19"/>
        <v>29835.832242283286</v>
      </c>
      <c r="E298" s="15">
        <f>IF($A298="","",IF($C298="Draw",'HELOC Calculator'!$B$7,0))</f>
        <v>0</v>
      </c>
      <c r="F298" s="15">
        <f>IF($A298="","",$D298*('HELOC Calculator'!$B$8/12))</f>
        <v>211.33714504950663</v>
      </c>
      <c r="G298" s="15">
        <f>IF($A298="","",IF($C298="Draw",$F298,'HELOC Calculator'!$B$18))</f>
        <v>362.35218755795904</v>
      </c>
      <c r="H298" s="15">
        <f t="shared" si="16"/>
        <v>151.01504250845241</v>
      </c>
      <c r="I298" s="15">
        <f t="shared" si="17"/>
        <v>29684.817199774832</v>
      </c>
    </row>
    <row r="299" spans="1:9" ht="15" customHeight="1" x14ac:dyDescent="0.3">
      <c r="A299" s="13">
        <f>IF(298&lt;='HELOC Calculator'!$B$16,298,"")</f>
        <v>298</v>
      </c>
      <c r="B299" s="14">
        <f t="shared" si="18"/>
        <v>55244</v>
      </c>
      <c r="C299" s="13" t="str">
        <f>IF($A299="","",IF($A299&lt;='HELOC Calculator'!$B$14,"Draw","Repayment"))</f>
        <v>Repayment</v>
      </c>
      <c r="D299" s="15">
        <f t="shared" si="19"/>
        <v>29684.817199774832</v>
      </c>
      <c r="E299" s="15">
        <f>IF($A299="","",IF($C299="Draw",'HELOC Calculator'!$B$7,0))</f>
        <v>0</v>
      </c>
      <c r="F299" s="15">
        <f>IF($A299="","",$D299*('HELOC Calculator'!$B$8/12))</f>
        <v>210.26745516507174</v>
      </c>
      <c r="G299" s="15">
        <f>IF($A299="","",IF($C299="Draw",$F299,'HELOC Calculator'!$B$18))</f>
        <v>362.35218755795904</v>
      </c>
      <c r="H299" s="15">
        <f t="shared" si="16"/>
        <v>152.0847323928873</v>
      </c>
      <c r="I299" s="15">
        <f t="shared" si="17"/>
        <v>29532.732467381946</v>
      </c>
    </row>
    <row r="300" spans="1:9" ht="15" customHeight="1" x14ac:dyDescent="0.3">
      <c r="A300" s="13">
        <f>IF(299&lt;='HELOC Calculator'!$B$16,299,"")</f>
        <v>299</v>
      </c>
      <c r="B300" s="14">
        <f t="shared" si="18"/>
        <v>55274</v>
      </c>
      <c r="C300" s="13" t="str">
        <f>IF($A300="","",IF($A300&lt;='HELOC Calculator'!$B$14,"Draw","Repayment"))</f>
        <v>Repayment</v>
      </c>
      <c r="D300" s="15">
        <f t="shared" si="19"/>
        <v>29532.732467381946</v>
      </c>
      <c r="E300" s="15">
        <f>IF($A300="","",IF($C300="Draw",'HELOC Calculator'!$B$7,0))</f>
        <v>0</v>
      </c>
      <c r="F300" s="15">
        <f>IF($A300="","",$D300*('HELOC Calculator'!$B$8/12))</f>
        <v>209.19018831062212</v>
      </c>
      <c r="G300" s="15">
        <f>IF($A300="","",IF($C300="Draw",$F300,'HELOC Calculator'!$B$18))</f>
        <v>362.35218755795904</v>
      </c>
      <c r="H300" s="15">
        <f t="shared" si="16"/>
        <v>153.16199924733692</v>
      </c>
      <c r="I300" s="15">
        <f t="shared" si="17"/>
        <v>29379.570468134611</v>
      </c>
    </row>
    <row r="301" spans="1:9" ht="15" customHeight="1" x14ac:dyDescent="0.3">
      <c r="A301" s="13">
        <f>IF(300&lt;='HELOC Calculator'!$B$16,300,"")</f>
        <v>300</v>
      </c>
      <c r="B301" s="14">
        <f t="shared" si="18"/>
        <v>55305</v>
      </c>
      <c r="C301" s="13" t="str">
        <f>IF($A301="","",IF($A301&lt;='HELOC Calculator'!$B$14,"Draw","Repayment"))</f>
        <v>Repayment</v>
      </c>
      <c r="D301" s="15">
        <f t="shared" si="19"/>
        <v>29379.570468134611</v>
      </c>
      <c r="E301" s="15">
        <f>IF($A301="","",IF($C301="Draw",'HELOC Calculator'!$B$7,0))</f>
        <v>0</v>
      </c>
      <c r="F301" s="15">
        <f>IF($A301="","",$D301*('HELOC Calculator'!$B$8/12))</f>
        <v>208.10529081595351</v>
      </c>
      <c r="G301" s="15">
        <f>IF($A301="","",IF($C301="Draw",$F301,'HELOC Calculator'!$B$18))</f>
        <v>362.35218755795904</v>
      </c>
      <c r="H301" s="15">
        <f t="shared" si="16"/>
        <v>154.24689674200553</v>
      </c>
      <c r="I301" s="15">
        <f t="shared" si="17"/>
        <v>29225.323571392604</v>
      </c>
    </row>
    <row r="302" spans="1:9" ht="15" customHeight="1" x14ac:dyDescent="0.3">
      <c r="A302" s="13">
        <f>IF(301&lt;='HELOC Calculator'!$B$16,301,"")</f>
        <v>301</v>
      </c>
      <c r="B302" s="14">
        <f t="shared" si="18"/>
        <v>55335</v>
      </c>
      <c r="C302" s="13" t="str">
        <f>IF($A302="","",IF($A302&lt;='HELOC Calculator'!$B$14,"Draw","Repayment"))</f>
        <v>Repayment</v>
      </c>
      <c r="D302" s="15">
        <f t="shared" si="19"/>
        <v>29225.323571392604</v>
      </c>
      <c r="E302" s="15">
        <f>IF($A302="","",IF($C302="Draw",'HELOC Calculator'!$B$7,0))</f>
        <v>0</v>
      </c>
      <c r="F302" s="15">
        <f>IF($A302="","",$D302*('HELOC Calculator'!$B$8/12))</f>
        <v>207.01270863069763</v>
      </c>
      <c r="G302" s="15">
        <f>IF($A302="","",IF($C302="Draw",$F302,'HELOC Calculator'!$B$18))</f>
        <v>362.35218755795904</v>
      </c>
      <c r="H302" s="15">
        <f t="shared" si="16"/>
        <v>155.33947892726141</v>
      </c>
      <c r="I302" s="15">
        <f t="shared" si="17"/>
        <v>29069.984092465344</v>
      </c>
    </row>
    <row r="303" spans="1:9" ht="15" customHeight="1" x14ac:dyDescent="0.3">
      <c r="A303" s="13">
        <f>IF(302&lt;='HELOC Calculator'!$B$16,302,"")</f>
        <v>302</v>
      </c>
      <c r="B303" s="14">
        <f t="shared" si="18"/>
        <v>55366</v>
      </c>
      <c r="C303" s="13" t="str">
        <f>IF($A303="","",IF($A303&lt;='HELOC Calculator'!$B$14,"Draw","Repayment"))</f>
        <v>Repayment</v>
      </c>
      <c r="D303" s="15">
        <f t="shared" si="19"/>
        <v>29069.984092465344</v>
      </c>
      <c r="E303" s="15">
        <f>IF($A303="","",IF($C303="Draw",'HELOC Calculator'!$B$7,0))</f>
        <v>0</v>
      </c>
      <c r="F303" s="15">
        <f>IF($A303="","",$D303*('HELOC Calculator'!$B$8/12))</f>
        <v>205.91238732162952</v>
      </c>
      <c r="G303" s="15">
        <f>IF($A303="","",IF($C303="Draw",$F303,'HELOC Calculator'!$B$18))</f>
        <v>362.35218755795904</v>
      </c>
      <c r="H303" s="15">
        <f t="shared" si="16"/>
        <v>156.43980023632952</v>
      </c>
      <c r="I303" s="15">
        <f t="shared" si="17"/>
        <v>28913.544292229013</v>
      </c>
    </row>
    <row r="304" spans="1:9" ht="15" customHeight="1" x14ac:dyDescent="0.3">
      <c r="A304" s="13">
        <f>IF(303&lt;='HELOC Calculator'!$B$16,303,"")</f>
        <v>303</v>
      </c>
      <c r="B304" s="14">
        <f t="shared" si="18"/>
        <v>55397</v>
      </c>
      <c r="C304" s="13" t="str">
        <f>IF($A304="","",IF($A304&lt;='HELOC Calculator'!$B$14,"Draw","Repayment"))</f>
        <v>Repayment</v>
      </c>
      <c r="D304" s="15">
        <f t="shared" si="19"/>
        <v>28913.544292229013</v>
      </c>
      <c r="E304" s="15">
        <f>IF($A304="","",IF($C304="Draw",'HELOC Calculator'!$B$7,0))</f>
        <v>0</v>
      </c>
      <c r="F304" s="15">
        <f>IF($A304="","",$D304*('HELOC Calculator'!$B$8/12))</f>
        <v>204.80427206995552</v>
      </c>
      <c r="G304" s="15">
        <f>IF($A304="","",IF($C304="Draw",$F304,'HELOC Calculator'!$B$18))</f>
        <v>362.35218755795904</v>
      </c>
      <c r="H304" s="15">
        <f t="shared" si="16"/>
        <v>157.54791548800353</v>
      </c>
      <c r="I304" s="15">
        <f t="shared" si="17"/>
        <v>28755.996376741008</v>
      </c>
    </row>
    <row r="305" spans="1:9" ht="15" customHeight="1" x14ac:dyDescent="0.3">
      <c r="A305" s="13">
        <f>IF(304&lt;='HELOC Calculator'!$B$16,304,"")</f>
        <v>304</v>
      </c>
      <c r="B305" s="14">
        <f t="shared" si="18"/>
        <v>55427</v>
      </c>
      <c r="C305" s="13" t="str">
        <f>IF($A305="","",IF($A305&lt;='HELOC Calculator'!$B$14,"Draw","Repayment"))</f>
        <v>Repayment</v>
      </c>
      <c r="D305" s="15">
        <f t="shared" si="19"/>
        <v>28755.996376741008</v>
      </c>
      <c r="E305" s="15">
        <f>IF($A305="","",IF($C305="Draw",'HELOC Calculator'!$B$7,0))</f>
        <v>0</v>
      </c>
      <c r="F305" s="15">
        <f>IF($A305="","",$D305*('HELOC Calculator'!$B$8/12))</f>
        <v>203.68830766858215</v>
      </c>
      <c r="G305" s="15">
        <f>IF($A305="","",IF($C305="Draw",$F305,'HELOC Calculator'!$B$18))</f>
        <v>362.35218755795904</v>
      </c>
      <c r="H305" s="15">
        <f t="shared" si="16"/>
        <v>158.66387988937689</v>
      </c>
      <c r="I305" s="15">
        <f t="shared" si="17"/>
        <v>28597.332496851632</v>
      </c>
    </row>
    <row r="306" spans="1:9" ht="15" customHeight="1" x14ac:dyDescent="0.3">
      <c r="A306" s="13">
        <f>IF(305&lt;='HELOC Calculator'!$B$16,305,"")</f>
        <v>305</v>
      </c>
      <c r="B306" s="14">
        <f t="shared" si="18"/>
        <v>55458</v>
      </c>
      <c r="C306" s="13" t="str">
        <f>IF($A306="","",IF($A306&lt;='HELOC Calculator'!$B$14,"Draw","Repayment"))</f>
        <v>Repayment</v>
      </c>
      <c r="D306" s="15">
        <f t="shared" si="19"/>
        <v>28597.332496851632</v>
      </c>
      <c r="E306" s="15">
        <f>IF($A306="","",IF($C306="Draw",'HELOC Calculator'!$B$7,0))</f>
        <v>0</v>
      </c>
      <c r="F306" s="15">
        <f>IF($A306="","",$D306*('HELOC Calculator'!$B$8/12))</f>
        <v>202.56443851936575</v>
      </c>
      <c r="G306" s="15">
        <f>IF($A306="","",IF($C306="Draw",$F306,'HELOC Calculator'!$B$18))</f>
        <v>362.35218755795904</v>
      </c>
      <c r="H306" s="15">
        <f t="shared" si="16"/>
        <v>159.78774903859329</v>
      </c>
      <c r="I306" s="15">
        <f t="shared" si="17"/>
        <v>28437.544747813037</v>
      </c>
    </row>
    <row r="307" spans="1:9" ht="15" customHeight="1" x14ac:dyDescent="0.3">
      <c r="A307" s="13">
        <f>IF(306&lt;='HELOC Calculator'!$B$16,306,"")</f>
        <v>306</v>
      </c>
      <c r="B307" s="14">
        <f t="shared" si="18"/>
        <v>55488</v>
      </c>
      <c r="C307" s="13" t="str">
        <f>IF($A307="","",IF($A307&lt;='HELOC Calculator'!$B$14,"Draw","Repayment"))</f>
        <v>Repayment</v>
      </c>
      <c r="D307" s="15">
        <f t="shared" si="19"/>
        <v>28437.544747813037</v>
      </c>
      <c r="E307" s="15">
        <f>IF($A307="","",IF($C307="Draw",'HELOC Calculator'!$B$7,0))</f>
        <v>0</v>
      </c>
      <c r="F307" s="15">
        <f>IF($A307="","",$D307*('HELOC Calculator'!$B$8/12))</f>
        <v>201.43260863034237</v>
      </c>
      <c r="G307" s="15">
        <f>IF($A307="","",IF($C307="Draw",$F307,'HELOC Calculator'!$B$18))</f>
        <v>362.35218755795904</v>
      </c>
      <c r="H307" s="15">
        <f t="shared" si="16"/>
        <v>160.91957892761667</v>
      </c>
      <c r="I307" s="15">
        <f t="shared" si="17"/>
        <v>28276.625168885421</v>
      </c>
    </row>
    <row r="308" spans="1:9" ht="15" customHeight="1" x14ac:dyDescent="0.3">
      <c r="A308" s="13">
        <f>IF(307&lt;='HELOC Calculator'!$B$16,307,"")</f>
        <v>307</v>
      </c>
      <c r="B308" s="14">
        <f t="shared" si="18"/>
        <v>55519</v>
      </c>
      <c r="C308" s="13" t="str">
        <f>IF($A308="","",IF($A308&lt;='HELOC Calculator'!$B$14,"Draw","Repayment"))</f>
        <v>Repayment</v>
      </c>
      <c r="D308" s="15">
        <f t="shared" si="19"/>
        <v>28276.625168885421</v>
      </c>
      <c r="E308" s="15">
        <f>IF($A308="","",IF($C308="Draw",'HELOC Calculator'!$B$7,0))</f>
        <v>0</v>
      </c>
      <c r="F308" s="15">
        <f>IF($A308="","",$D308*('HELOC Calculator'!$B$8/12))</f>
        <v>200.29276161293842</v>
      </c>
      <c r="G308" s="15">
        <f>IF($A308="","",IF($C308="Draw",$F308,'HELOC Calculator'!$B$18))</f>
        <v>362.35218755795904</v>
      </c>
      <c r="H308" s="15">
        <f t="shared" si="16"/>
        <v>162.05942594502062</v>
      </c>
      <c r="I308" s="15">
        <f t="shared" si="17"/>
        <v>28114.565742940402</v>
      </c>
    </row>
    <row r="309" spans="1:9" ht="15" customHeight="1" x14ac:dyDescent="0.3">
      <c r="A309" s="13">
        <f>IF(308&lt;='HELOC Calculator'!$B$16,308,"")</f>
        <v>308</v>
      </c>
      <c r="B309" s="14">
        <f t="shared" si="18"/>
        <v>55550</v>
      </c>
      <c r="C309" s="13" t="str">
        <f>IF($A309="","",IF($A309&lt;='HELOC Calculator'!$B$14,"Draw","Repayment"))</f>
        <v>Repayment</v>
      </c>
      <c r="D309" s="15">
        <f t="shared" si="19"/>
        <v>28114.565742940402</v>
      </c>
      <c r="E309" s="15">
        <f>IF($A309="","",IF($C309="Draw",'HELOC Calculator'!$B$7,0))</f>
        <v>0</v>
      </c>
      <c r="F309" s="15">
        <f>IF($A309="","",$D309*('HELOC Calculator'!$B$8/12))</f>
        <v>199.14484067916121</v>
      </c>
      <c r="G309" s="15">
        <f>IF($A309="","",IF($C309="Draw",$F309,'HELOC Calculator'!$B$18))</f>
        <v>362.35218755795904</v>
      </c>
      <c r="H309" s="15">
        <f t="shared" si="16"/>
        <v>163.20734687879784</v>
      </c>
      <c r="I309" s="15">
        <f t="shared" si="17"/>
        <v>27951.358396061605</v>
      </c>
    </row>
    <row r="310" spans="1:9" ht="15" customHeight="1" x14ac:dyDescent="0.3">
      <c r="A310" s="13">
        <f>IF(309&lt;='HELOC Calculator'!$B$16,309,"")</f>
        <v>309</v>
      </c>
      <c r="B310" s="14">
        <f t="shared" si="18"/>
        <v>55579</v>
      </c>
      <c r="C310" s="13" t="str">
        <f>IF($A310="","",IF($A310&lt;='HELOC Calculator'!$B$14,"Draw","Repayment"))</f>
        <v>Repayment</v>
      </c>
      <c r="D310" s="15">
        <f t="shared" si="19"/>
        <v>27951.358396061605</v>
      </c>
      <c r="E310" s="15">
        <f>IF($A310="","",IF($C310="Draw",'HELOC Calculator'!$B$7,0))</f>
        <v>0</v>
      </c>
      <c r="F310" s="15">
        <f>IF($A310="","",$D310*('HELOC Calculator'!$B$8/12))</f>
        <v>197.98878863876971</v>
      </c>
      <c r="G310" s="15">
        <f>IF($A310="","",IF($C310="Draw",$F310,'HELOC Calculator'!$B$18))</f>
        <v>362.35218755795904</v>
      </c>
      <c r="H310" s="15">
        <f t="shared" si="16"/>
        <v>164.36339891918934</v>
      </c>
      <c r="I310" s="15">
        <f t="shared" si="17"/>
        <v>27786.994997142418</v>
      </c>
    </row>
    <row r="311" spans="1:9" ht="15" customHeight="1" x14ac:dyDescent="0.3">
      <c r="A311" s="13">
        <f>IF(310&lt;='HELOC Calculator'!$B$16,310,"")</f>
        <v>310</v>
      </c>
      <c r="B311" s="14">
        <f t="shared" si="18"/>
        <v>55610</v>
      </c>
      <c r="C311" s="13" t="str">
        <f>IF($A311="","",IF($A311&lt;='HELOC Calculator'!$B$14,"Draw","Repayment"))</f>
        <v>Repayment</v>
      </c>
      <c r="D311" s="15">
        <f t="shared" si="19"/>
        <v>27786.994997142418</v>
      </c>
      <c r="E311" s="15">
        <f>IF($A311="","",IF($C311="Draw",'HELOC Calculator'!$B$7,0))</f>
        <v>0</v>
      </c>
      <c r="F311" s="15">
        <f>IF($A311="","",$D311*('HELOC Calculator'!$B$8/12))</f>
        <v>196.82454789642549</v>
      </c>
      <c r="G311" s="15">
        <f>IF($A311="","",IF($C311="Draw",$F311,'HELOC Calculator'!$B$18))</f>
        <v>362.35218755795904</v>
      </c>
      <c r="H311" s="15">
        <f t="shared" si="16"/>
        <v>165.52763966153356</v>
      </c>
      <c r="I311" s="15">
        <f t="shared" si="17"/>
        <v>27621.467357480884</v>
      </c>
    </row>
    <row r="312" spans="1:9" ht="15" customHeight="1" x14ac:dyDescent="0.3">
      <c r="A312" s="13">
        <f>IF(311&lt;='HELOC Calculator'!$B$16,311,"")</f>
        <v>311</v>
      </c>
      <c r="B312" s="14">
        <f t="shared" si="18"/>
        <v>55640</v>
      </c>
      <c r="C312" s="13" t="str">
        <f>IF($A312="","",IF($A312&lt;='HELOC Calculator'!$B$14,"Draw","Repayment"))</f>
        <v>Repayment</v>
      </c>
      <c r="D312" s="15">
        <f t="shared" si="19"/>
        <v>27621.467357480884</v>
      </c>
      <c r="E312" s="15">
        <f>IF($A312="","",IF($C312="Draw",'HELOC Calculator'!$B$7,0))</f>
        <v>0</v>
      </c>
      <c r="F312" s="15">
        <f>IF($A312="","",$D312*('HELOC Calculator'!$B$8/12))</f>
        <v>195.65206044882294</v>
      </c>
      <c r="G312" s="15">
        <f>IF($A312="","",IF($C312="Draw",$F312,'HELOC Calculator'!$B$18))</f>
        <v>362.35218755795904</v>
      </c>
      <c r="H312" s="15">
        <f t="shared" si="16"/>
        <v>166.7001271091361</v>
      </c>
      <c r="I312" s="15">
        <f t="shared" si="17"/>
        <v>27454.767230371748</v>
      </c>
    </row>
    <row r="313" spans="1:9" ht="15" customHeight="1" x14ac:dyDescent="0.3">
      <c r="A313" s="13">
        <f>IF(312&lt;='HELOC Calculator'!$B$16,312,"")</f>
        <v>312</v>
      </c>
      <c r="B313" s="14">
        <f t="shared" si="18"/>
        <v>55671</v>
      </c>
      <c r="C313" s="13" t="str">
        <f>IF($A313="","",IF($A313&lt;='HELOC Calculator'!$B$14,"Draw","Repayment"))</f>
        <v>Repayment</v>
      </c>
      <c r="D313" s="15">
        <f t="shared" si="19"/>
        <v>27454.767230371748</v>
      </c>
      <c r="E313" s="15">
        <f>IF($A313="","",IF($C313="Draw",'HELOC Calculator'!$B$7,0))</f>
        <v>0</v>
      </c>
      <c r="F313" s="15">
        <f>IF($A313="","",$D313*('HELOC Calculator'!$B$8/12))</f>
        <v>194.47126788179989</v>
      </c>
      <c r="G313" s="15">
        <f>IF($A313="","",IF($C313="Draw",$F313,'HELOC Calculator'!$B$18))</f>
        <v>362.35218755795904</v>
      </c>
      <c r="H313" s="15">
        <f t="shared" si="16"/>
        <v>167.88091967615915</v>
      </c>
      <c r="I313" s="15">
        <f t="shared" si="17"/>
        <v>27286.886310695591</v>
      </c>
    </row>
    <row r="314" spans="1:9" ht="15" customHeight="1" x14ac:dyDescent="0.3">
      <c r="A314" s="13">
        <f>IF(313&lt;='HELOC Calculator'!$B$16,313,"")</f>
        <v>313</v>
      </c>
      <c r="B314" s="14">
        <f t="shared" si="18"/>
        <v>55701</v>
      </c>
      <c r="C314" s="13" t="str">
        <f>IF($A314="","",IF($A314&lt;='HELOC Calculator'!$B$14,"Draw","Repayment"))</f>
        <v>Repayment</v>
      </c>
      <c r="D314" s="15">
        <f t="shared" si="19"/>
        <v>27286.886310695591</v>
      </c>
      <c r="E314" s="15">
        <f>IF($A314="","",IF($C314="Draw",'HELOC Calculator'!$B$7,0))</f>
        <v>0</v>
      </c>
      <c r="F314" s="15">
        <f>IF($A314="","",$D314*('HELOC Calculator'!$B$8/12))</f>
        <v>193.28211136742712</v>
      </c>
      <c r="G314" s="15">
        <f>IF($A314="","",IF($C314="Draw",$F314,'HELOC Calculator'!$B$18))</f>
        <v>362.35218755795904</v>
      </c>
      <c r="H314" s="15">
        <f t="shared" si="16"/>
        <v>169.07007619053192</v>
      </c>
      <c r="I314" s="15">
        <f t="shared" si="17"/>
        <v>27117.816234505059</v>
      </c>
    </row>
    <row r="315" spans="1:9" ht="15" customHeight="1" x14ac:dyDescent="0.3">
      <c r="A315" s="13">
        <f>IF(314&lt;='HELOC Calculator'!$B$16,314,"")</f>
        <v>314</v>
      </c>
      <c r="B315" s="14">
        <f t="shared" si="18"/>
        <v>55732</v>
      </c>
      <c r="C315" s="13" t="str">
        <f>IF($A315="","",IF($A315&lt;='HELOC Calculator'!$B$14,"Draw","Repayment"))</f>
        <v>Repayment</v>
      </c>
      <c r="D315" s="15">
        <f t="shared" si="19"/>
        <v>27117.816234505059</v>
      </c>
      <c r="E315" s="15">
        <f>IF($A315="","",IF($C315="Draw",'HELOC Calculator'!$B$7,0))</f>
        <v>0</v>
      </c>
      <c r="F315" s="15">
        <f>IF($A315="","",$D315*('HELOC Calculator'!$B$8/12))</f>
        <v>192.08453166107751</v>
      </c>
      <c r="G315" s="15">
        <f>IF($A315="","",IF($C315="Draw",$F315,'HELOC Calculator'!$B$18))</f>
        <v>362.35218755795904</v>
      </c>
      <c r="H315" s="15">
        <f t="shared" si="16"/>
        <v>170.26765589688154</v>
      </c>
      <c r="I315" s="15">
        <f t="shared" si="17"/>
        <v>26947.548578608177</v>
      </c>
    </row>
    <row r="316" spans="1:9" ht="15" customHeight="1" x14ac:dyDescent="0.3">
      <c r="A316" s="13">
        <f>IF(315&lt;='HELOC Calculator'!$B$16,315,"")</f>
        <v>315</v>
      </c>
      <c r="B316" s="14">
        <f t="shared" si="18"/>
        <v>55763</v>
      </c>
      <c r="C316" s="13" t="str">
        <f>IF($A316="","",IF($A316&lt;='HELOC Calculator'!$B$14,"Draw","Repayment"))</f>
        <v>Repayment</v>
      </c>
      <c r="D316" s="15">
        <f t="shared" si="19"/>
        <v>26947.548578608177</v>
      </c>
      <c r="E316" s="15">
        <f>IF($A316="","",IF($C316="Draw",'HELOC Calculator'!$B$7,0))</f>
        <v>0</v>
      </c>
      <c r="F316" s="15">
        <f>IF($A316="","",$D316*('HELOC Calculator'!$B$8/12))</f>
        <v>190.8784690984746</v>
      </c>
      <c r="G316" s="15">
        <f>IF($A316="","",IF($C316="Draw",$F316,'HELOC Calculator'!$B$18))</f>
        <v>362.35218755795904</v>
      </c>
      <c r="H316" s="15">
        <f t="shared" si="16"/>
        <v>171.47371845948445</v>
      </c>
      <c r="I316" s="15">
        <f t="shared" si="17"/>
        <v>26776.074860148692</v>
      </c>
    </row>
    <row r="317" spans="1:9" ht="15" customHeight="1" x14ac:dyDescent="0.3">
      <c r="A317" s="13">
        <f>IF(316&lt;='HELOC Calculator'!$B$16,316,"")</f>
        <v>316</v>
      </c>
      <c r="B317" s="14">
        <f t="shared" si="18"/>
        <v>55793</v>
      </c>
      <c r="C317" s="13" t="str">
        <f>IF($A317="","",IF($A317&lt;='HELOC Calculator'!$B$14,"Draw","Repayment"))</f>
        <v>Repayment</v>
      </c>
      <c r="D317" s="15">
        <f t="shared" si="19"/>
        <v>26776.074860148692</v>
      </c>
      <c r="E317" s="15">
        <f>IF($A317="","",IF($C317="Draw",'HELOC Calculator'!$B$7,0))</f>
        <v>0</v>
      </c>
      <c r="F317" s="15">
        <f>IF($A317="","",$D317*('HELOC Calculator'!$B$8/12))</f>
        <v>189.66386359271991</v>
      </c>
      <c r="G317" s="15">
        <f>IF($A317="","",IF($C317="Draw",$F317,'HELOC Calculator'!$B$18))</f>
        <v>362.35218755795904</v>
      </c>
      <c r="H317" s="15">
        <f t="shared" si="16"/>
        <v>172.68832396523914</v>
      </c>
      <c r="I317" s="15">
        <f t="shared" si="17"/>
        <v>26603.386536183454</v>
      </c>
    </row>
    <row r="318" spans="1:9" ht="15" customHeight="1" x14ac:dyDescent="0.3">
      <c r="A318" s="13">
        <f>IF(317&lt;='HELOC Calculator'!$B$16,317,"")</f>
        <v>317</v>
      </c>
      <c r="B318" s="14">
        <f t="shared" si="18"/>
        <v>55824</v>
      </c>
      <c r="C318" s="13" t="str">
        <f>IF($A318="","",IF($A318&lt;='HELOC Calculator'!$B$14,"Draw","Repayment"))</f>
        <v>Repayment</v>
      </c>
      <c r="D318" s="15">
        <f t="shared" si="19"/>
        <v>26603.386536183454</v>
      </c>
      <c r="E318" s="15">
        <f>IF($A318="","",IF($C318="Draw",'HELOC Calculator'!$B$7,0))</f>
        <v>0</v>
      </c>
      <c r="F318" s="15">
        <f>IF($A318="","",$D318*('HELOC Calculator'!$B$8/12))</f>
        <v>188.44065463129948</v>
      </c>
      <c r="G318" s="15">
        <f>IF($A318="","",IF($C318="Draw",$F318,'HELOC Calculator'!$B$18))</f>
        <v>362.35218755795904</v>
      </c>
      <c r="H318" s="15">
        <f t="shared" si="16"/>
        <v>173.91153292665956</v>
      </c>
      <c r="I318" s="15">
        <f t="shared" si="17"/>
        <v>26429.475003256794</v>
      </c>
    </row>
    <row r="319" spans="1:9" ht="15" customHeight="1" x14ac:dyDescent="0.3">
      <c r="A319" s="13">
        <f>IF(318&lt;='HELOC Calculator'!$B$16,318,"")</f>
        <v>318</v>
      </c>
      <c r="B319" s="14">
        <f t="shared" si="18"/>
        <v>55854</v>
      </c>
      <c r="C319" s="13" t="str">
        <f>IF($A319="","",IF($A319&lt;='HELOC Calculator'!$B$14,"Draw","Repayment"))</f>
        <v>Repayment</v>
      </c>
      <c r="D319" s="15">
        <f t="shared" si="19"/>
        <v>26429.475003256794</v>
      </c>
      <c r="E319" s="15">
        <f>IF($A319="","",IF($C319="Draw",'HELOC Calculator'!$B$7,0))</f>
        <v>0</v>
      </c>
      <c r="F319" s="15">
        <f>IF($A319="","",$D319*('HELOC Calculator'!$B$8/12))</f>
        <v>187.20878127306898</v>
      </c>
      <c r="G319" s="15">
        <f>IF($A319="","",IF($C319="Draw",$F319,'HELOC Calculator'!$B$18))</f>
        <v>362.35218755795904</v>
      </c>
      <c r="H319" s="15">
        <f t="shared" si="16"/>
        <v>175.14340628489006</v>
      </c>
      <c r="I319" s="15">
        <f t="shared" si="17"/>
        <v>26254.331596971904</v>
      </c>
    </row>
    <row r="320" spans="1:9" ht="15" customHeight="1" x14ac:dyDescent="0.3">
      <c r="A320" s="13">
        <f>IF(319&lt;='HELOC Calculator'!$B$16,319,"")</f>
        <v>319</v>
      </c>
      <c r="B320" s="14">
        <f t="shared" si="18"/>
        <v>55885</v>
      </c>
      <c r="C320" s="13" t="str">
        <f>IF($A320="","",IF($A320&lt;='HELOC Calculator'!$B$14,"Draw","Repayment"))</f>
        <v>Repayment</v>
      </c>
      <c r="D320" s="15">
        <f t="shared" si="19"/>
        <v>26254.331596971904</v>
      </c>
      <c r="E320" s="15">
        <f>IF($A320="","",IF($C320="Draw",'HELOC Calculator'!$B$7,0))</f>
        <v>0</v>
      </c>
      <c r="F320" s="15">
        <f>IF($A320="","",$D320*('HELOC Calculator'!$B$8/12))</f>
        <v>185.96818214521767</v>
      </c>
      <c r="G320" s="15">
        <f>IF($A320="","",IF($C320="Draw",$F320,'HELOC Calculator'!$B$18))</f>
        <v>362.35218755795904</v>
      </c>
      <c r="H320" s="15">
        <f t="shared" si="16"/>
        <v>176.38400541274137</v>
      </c>
      <c r="I320" s="15">
        <f t="shared" si="17"/>
        <v>26077.947591559161</v>
      </c>
    </row>
    <row r="321" spans="1:9" ht="15" customHeight="1" x14ac:dyDescent="0.3">
      <c r="A321" s="13">
        <f>IF(320&lt;='HELOC Calculator'!$B$16,320,"")</f>
        <v>320</v>
      </c>
      <c r="B321" s="14">
        <f t="shared" si="18"/>
        <v>55916</v>
      </c>
      <c r="C321" s="13" t="str">
        <f>IF($A321="","",IF($A321&lt;='HELOC Calculator'!$B$14,"Draw","Repayment"))</f>
        <v>Repayment</v>
      </c>
      <c r="D321" s="15">
        <f t="shared" si="19"/>
        <v>26077.947591559161</v>
      </c>
      <c r="E321" s="15">
        <f>IF($A321="","",IF($C321="Draw",'HELOC Calculator'!$B$7,0))</f>
        <v>0</v>
      </c>
      <c r="F321" s="15">
        <f>IF($A321="","",$D321*('HELOC Calculator'!$B$8/12))</f>
        <v>184.71879544021073</v>
      </c>
      <c r="G321" s="15">
        <f>IF($A321="","",IF($C321="Draw",$F321,'HELOC Calculator'!$B$18))</f>
        <v>362.35218755795904</v>
      </c>
      <c r="H321" s="15">
        <f t="shared" si="16"/>
        <v>177.63339211774831</v>
      </c>
      <c r="I321" s="15">
        <f t="shared" si="17"/>
        <v>25900.314199441415</v>
      </c>
    </row>
    <row r="322" spans="1:9" ht="15" customHeight="1" x14ac:dyDescent="0.3">
      <c r="A322" s="13">
        <f>IF(321&lt;='HELOC Calculator'!$B$16,321,"")</f>
        <v>321</v>
      </c>
      <c r="B322" s="14">
        <f t="shared" si="18"/>
        <v>55944</v>
      </c>
      <c r="C322" s="13" t="str">
        <f>IF($A322="","",IF($A322&lt;='HELOC Calculator'!$B$14,"Draw","Repayment"))</f>
        <v>Repayment</v>
      </c>
      <c r="D322" s="15">
        <f t="shared" si="19"/>
        <v>25900.314199441415</v>
      </c>
      <c r="E322" s="15">
        <f>IF($A322="","",IF($C322="Draw",'HELOC Calculator'!$B$7,0))</f>
        <v>0</v>
      </c>
      <c r="F322" s="15">
        <f>IF($A322="","",$D322*('HELOC Calculator'!$B$8/12))</f>
        <v>183.46055891271004</v>
      </c>
      <c r="G322" s="15">
        <f>IF($A322="","",IF($C322="Draw",$F322,'HELOC Calculator'!$B$18))</f>
        <v>362.35218755795904</v>
      </c>
      <c r="H322" s="15">
        <f t="shared" ref="H322:H385" si="20">IF($A322="","",IF($C322="Draw",0,MAX($G322-$F322,0)))</f>
        <v>178.891628645249</v>
      </c>
      <c r="I322" s="15">
        <f t="shared" ref="I322:I385" si="21">IF($A322="","",MAX($D322+$E322-$H322,0))</f>
        <v>25721.422570796167</v>
      </c>
    </row>
    <row r="323" spans="1:9" ht="15" customHeight="1" x14ac:dyDescent="0.3">
      <c r="A323" s="13">
        <f>IF(322&lt;='HELOC Calculator'!$B$16,322,"")</f>
        <v>322</v>
      </c>
      <c r="B323" s="14">
        <f t="shared" ref="B323:B386" si="22">IF($A323="","",EDATE($B322,1))</f>
        <v>55975</v>
      </c>
      <c r="C323" s="13" t="str">
        <f>IF($A323="","",IF($A323&lt;='HELOC Calculator'!$B$14,"Draw","Repayment"))</f>
        <v>Repayment</v>
      </c>
      <c r="D323" s="15">
        <f t="shared" ref="D323:D386" si="23">IF($A323="","",$I322)</f>
        <v>25721.422570796167</v>
      </c>
      <c r="E323" s="15">
        <f>IF($A323="","",IF($C323="Draw",'HELOC Calculator'!$B$7,0))</f>
        <v>0</v>
      </c>
      <c r="F323" s="15">
        <f>IF($A323="","",$D323*('HELOC Calculator'!$B$8/12))</f>
        <v>182.19340987647286</v>
      </c>
      <c r="G323" s="15">
        <f>IF($A323="","",IF($C323="Draw",$F323,'HELOC Calculator'!$B$18))</f>
        <v>362.35218755795904</v>
      </c>
      <c r="H323" s="15">
        <f t="shared" si="20"/>
        <v>180.15877768148619</v>
      </c>
      <c r="I323" s="15">
        <f t="shared" si="21"/>
        <v>25541.263793114682</v>
      </c>
    </row>
    <row r="324" spans="1:9" ht="15" customHeight="1" x14ac:dyDescent="0.3">
      <c r="A324" s="13">
        <f>IF(323&lt;='HELOC Calculator'!$B$16,323,"")</f>
        <v>323</v>
      </c>
      <c r="B324" s="14">
        <f t="shared" si="22"/>
        <v>56005</v>
      </c>
      <c r="C324" s="13" t="str">
        <f>IF($A324="","",IF($A324&lt;='HELOC Calculator'!$B$14,"Draw","Repayment"))</f>
        <v>Repayment</v>
      </c>
      <c r="D324" s="15">
        <f t="shared" si="23"/>
        <v>25541.263793114682</v>
      </c>
      <c r="E324" s="15">
        <f>IF($A324="","",IF($C324="Draw",'HELOC Calculator'!$B$7,0))</f>
        <v>0</v>
      </c>
      <c r="F324" s="15">
        <f>IF($A324="","",$D324*('HELOC Calculator'!$B$8/12))</f>
        <v>180.91728520122902</v>
      </c>
      <c r="G324" s="15">
        <f>IF($A324="","",IF($C324="Draw",$F324,'HELOC Calculator'!$B$18))</f>
        <v>362.35218755795904</v>
      </c>
      <c r="H324" s="15">
        <f t="shared" si="20"/>
        <v>181.43490235673002</v>
      </c>
      <c r="I324" s="15">
        <f t="shared" si="21"/>
        <v>25359.828890757952</v>
      </c>
    </row>
    <row r="325" spans="1:9" ht="15" customHeight="1" x14ac:dyDescent="0.3">
      <c r="A325" s="13">
        <f>IF(324&lt;='HELOC Calculator'!$B$16,324,"")</f>
        <v>324</v>
      </c>
      <c r="B325" s="14">
        <f t="shared" si="22"/>
        <v>56036</v>
      </c>
      <c r="C325" s="13" t="str">
        <f>IF($A325="","",IF($A325&lt;='HELOC Calculator'!$B$14,"Draw","Repayment"))</f>
        <v>Repayment</v>
      </c>
      <c r="D325" s="15">
        <f t="shared" si="23"/>
        <v>25359.828890757952</v>
      </c>
      <c r="E325" s="15">
        <f>IF($A325="","",IF($C325="Draw",'HELOC Calculator'!$B$7,0))</f>
        <v>0</v>
      </c>
      <c r="F325" s="15">
        <f>IF($A325="","",$D325*('HELOC Calculator'!$B$8/12))</f>
        <v>179.63212130953551</v>
      </c>
      <c r="G325" s="15">
        <f>IF($A325="","",IF($C325="Draw",$F325,'HELOC Calculator'!$B$18))</f>
        <v>362.35218755795904</v>
      </c>
      <c r="H325" s="15">
        <f t="shared" si="20"/>
        <v>182.72006624842354</v>
      </c>
      <c r="I325" s="15">
        <f t="shared" si="21"/>
        <v>25177.108824509527</v>
      </c>
    </row>
    <row r="326" spans="1:9" ht="15" customHeight="1" x14ac:dyDescent="0.3">
      <c r="A326" s="13">
        <f>IF(325&lt;='HELOC Calculator'!$B$16,325,"")</f>
        <v>325</v>
      </c>
      <c r="B326" s="14">
        <f t="shared" si="22"/>
        <v>56066</v>
      </c>
      <c r="C326" s="13" t="str">
        <f>IF($A326="","",IF($A326&lt;='HELOC Calculator'!$B$14,"Draw","Repayment"))</f>
        <v>Repayment</v>
      </c>
      <c r="D326" s="15">
        <f t="shared" si="23"/>
        <v>25177.108824509527</v>
      </c>
      <c r="E326" s="15">
        <f>IF($A326="","",IF($C326="Draw",'HELOC Calculator'!$B$7,0))</f>
        <v>0</v>
      </c>
      <c r="F326" s="15">
        <f>IF($A326="","",$D326*('HELOC Calculator'!$B$8/12))</f>
        <v>178.33785417360917</v>
      </c>
      <c r="G326" s="15">
        <f>IF($A326="","",IF($C326="Draw",$F326,'HELOC Calculator'!$B$18))</f>
        <v>362.35218755795904</v>
      </c>
      <c r="H326" s="15">
        <f t="shared" si="20"/>
        <v>184.01433338434987</v>
      </c>
      <c r="I326" s="15">
        <f t="shared" si="21"/>
        <v>24993.094491125175</v>
      </c>
    </row>
    <row r="327" spans="1:9" ht="15" customHeight="1" x14ac:dyDescent="0.3">
      <c r="A327" s="13">
        <f>IF(326&lt;='HELOC Calculator'!$B$16,326,"")</f>
        <v>326</v>
      </c>
      <c r="B327" s="14">
        <f t="shared" si="22"/>
        <v>56097</v>
      </c>
      <c r="C327" s="13" t="str">
        <f>IF($A327="","",IF($A327&lt;='HELOC Calculator'!$B$14,"Draw","Repayment"))</f>
        <v>Repayment</v>
      </c>
      <c r="D327" s="15">
        <f t="shared" si="23"/>
        <v>24993.094491125175</v>
      </c>
      <c r="E327" s="15">
        <f>IF($A327="","",IF($C327="Draw",'HELOC Calculator'!$B$7,0))</f>
        <v>0</v>
      </c>
      <c r="F327" s="15">
        <f>IF($A327="","",$D327*('HELOC Calculator'!$B$8/12))</f>
        <v>177.03441931213666</v>
      </c>
      <c r="G327" s="15">
        <f>IF($A327="","",IF($C327="Draw",$F327,'HELOC Calculator'!$B$18))</f>
        <v>362.35218755795904</v>
      </c>
      <c r="H327" s="15">
        <f t="shared" si="20"/>
        <v>185.31776824582238</v>
      </c>
      <c r="I327" s="15">
        <f t="shared" si="21"/>
        <v>24807.776722879353</v>
      </c>
    </row>
    <row r="328" spans="1:9" ht="15" customHeight="1" x14ac:dyDescent="0.3">
      <c r="A328" s="13">
        <f>IF(327&lt;='HELOC Calculator'!$B$16,327,"")</f>
        <v>327</v>
      </c>
      <c r="B328" s="14">
        <f t="shared" si="22"/>
        <v>56128</v>
      </c>
      <c r="C328" s="13" t="str">
        <f>IF($A328="","",IF($A328&lt;='HELOC Calculator'!$B$14,"Draw","Repayment"))</f>
        <v>Repayment</v>
      </c>
      <c r="D328" s="15">
        <f t="shared" si="23"/>
        <v>24807.776722879353</v>
      </c>
      <c r="E328" s="15">
        <f>IF($A328="","",IF($C328="Draw",'HELOC Calculator'!$B$7,0))</f>
        <v>0</v>
      </c>
      <c r="F328" s="15">
        <f>IF($A328="","",$D328*('HELOC Calculator'!$B$8/12))</f>
        <v>175.72175178706209</v>
      </c>
      <c r="G328" s="15">
        <f>IF($A328="","",IF($C328="Draw",$F328,'HELOC Calculator'!$B$18))</f>
        <v>362.35218755795904</v>
      </c>
      <c r="H328" s="15">
        <f t="shared" si="20"/>
        <v>186.63043577089695</v>
      </c>
      <c r="I328" s="15">
        <f t="shared" si="21"/>
        <v>24621.146287108455</v>
      </c>
    </row>
    <row r="329" spans="1:9" ht="15" customHeight="1" x14ac:dyDescent="0.3">
      <c r="A329" s="13">
        <f>IF(328&lt;='HELOC Calculator'!$B$16,328,"")</f>
        <v>328</v>
      </c>
      <c r="B329" s="14">
        <f t="shared" si="22"/>
        <v>56158</v>
      </c>
      <c r="C329" s="13" t="str">
        <f>IF($A329="","",IF($A329&lt;='HELOC Calculator'!$B$14,"Draw","Repayment"))</f>
        <v>Repayment</v>
      </c>
      <c r="D329" s="15">
        <f t="shared" si="23"/>
        <v>24621.146287108455</v>
      </c>
      <c r="E329" s="15">
        <f>IF($A329="","",IF($C329="Draw",'HELOC Calculator'!$B$7,0))</f>
        <v>0</v>
      </c>
      <c r="F329" s="15">
        <f>IF($A329="","",$D329*('HELOC Calculator'!$B$8/12))</f>
        <v>174.39978620035157</v>
      </c>
      <c r="G329" s="15">
        <f>IF($A329="","",IF($C329="Draw",$F329,'HELOC Calculator'!$B$18))</f>
        <v>362.35218755795904</v>
      </c>
      <c r="H329" s="15">
        <f t="shared" si="20"/>
        <v>187.95240135760747</v>
      </c>
      <c r="I329" s="15">
        <f t="shared" si="21"/>
        <v>24433.193885750847</v>
      </c>
    </row>
    <row r="330" spans="1:9" ht="15" customHeight="1" x14ac:dyDescent="0.3">
      <c r="A330" s="13">
        <f>IF(329&lt;='HELOC Calculator'!$B$16,329,"")</f>
        <v>329</v>
      </c>
      <c r="B330" s="14">
        <f t="shared" si="22"/>
        <v>56189</v>
      </c>
      <c r="C330" s="13" t="str">
        <f>IF($A330="","",IF($A330&lt;='HELOC Calculator'!$B$14,"Draw","Repayment"))</f>
        <v>Repayment</v>
      </c>
      <c r="D330" s="15">
        <f t="shared" si="23"/>
        <v>24433.193885750847</v>
      </c>
      <c r="E330" s="15">
        <f>IF($A330="","",IF($C330="Draw",'HELOC Calculator'!$B$7,0))</f>
        <v>0</v>
      </c>
      <c r="F330" s="15">
        <f>IF($A330="","",$D330*('HELOC Calculator'!$B$8/12))</f>
        <v>173.06845669073519</v>
      </c>
      <c r="G330" s="15">
        <f>IF($A330="","",IF($C330="Draw",$F330,'HELOC Calculator'!$B$18))</f>
        <v>362.35218755795904</v>
      </c>
      <c r="H330" s="15">
        <f t="shared" si="20"/>
        <v>189.28373086722385</v>
      </c>
      <c r="I330" s="15">
        <f t="shared" si="21"/>
        <v>24243.910154883622</v>
      </c>
    </row>
    <row r="331" spans="1:9" ht="15" customHeight="1" x14ac:dyDescent="0.3">
      <c r="A331" s="13">
        <f>IF(330&lt;='HELOC Calculator'!$B$16,330,"")</f>
        <v>330</v>
      </c>
      <c r="B331" s="14">
        <f t="shared" si="22"/>
        <v>56219</v>
      </c>
      <c r="C331" s="13" t="str">
        <f>IF($A331="","",IF($A331&lt;='HELOC Calculator'!$B$14,"Draw","Repayment"))</f>
        <v>Repayment</v>
      </c>
      <c r="D331" s="15">
        <f t="shared" si="23"/>
        <v>24243.910154883622</v>
      </c>
      <c r="E331" s="15">
        <f>IF($A331="","",IF($C331="Draw",'HELOC Calculator'!$B$7,0))</f>
        <v>0</v>
      </c>
      <c r="F331" s="15">
        <f>IF($A331="","",$D331*('HELOC Calculator'!$B$8/12))</f>
        <v>171.72769693042568</v>
      </c>
      <c r="G331" s="15">
        <f>IF($A331="","",IF($C331="Draw",$F331,'HELOC Calculator'!$B$18))</f>
        <v>362.35218755795904</v>
      </c>
      <c r="H331" s="15">
        <f t="shared" si="20"/>
        <v>190.62449062753336</v>
      </c>
      <c r="I331" s="15">
        <f t="shared" si="21"/>
        <v>24053.285664256087</v>
      </c>
    </row>
    <row r="332" spans="1:9" ht="15" customHeight="1" x14ac:dyDescent="0.3">
      <c r="A332" s="13">
        <f>IF(331&lt;='HELOC Calculator'!$B$16,331,"")</f>
        <v>331</v>
      </c>
      <c r="B332" s="14">
        <f t="shared" si="22"/>
        <v>56250</v>
      </c>
      <c r="C332" s="13" t="str">
        <f>IF($A332="","",IF($A332&lt;='HELOC Calculator'!$B$14,"Draw","Repayment"))</f>
        <v>Repayment</v>
      </c>
      <c r="D332" s="15">
        <f t="shared" si="23"/>
        <v>24053.285664256087</v>
      </c>
      <c r="E332" s="15">
        <f>IF($A332="","",IF($C332="Draw",'HELOC Calculator'!$B$7,0))</f>
        <v>0</v>
      </c>
      <c r="F332" s="15">
        <f>IF($A332="","",$D332*('HELOC Calculator'!$B$8/12))</f>
        <v>170.37744012181398</v>
      </c>
      <c r="G332" s="15">
        <f>IF($A332="","",IF($C332="Draw",$F332,'HELOC Calculator'!$B$18))</f>
        <v>362.35218755795904</v>
      </c>
      <c r="H332" s="15">
        <f t="shared" si="20"/>
        <v>191.97474743614507</v>
      </c>
      <c r="I332" s="15">
        <f t="shared" si="21"/>
        <v>23861.310916819941</v>
      </c>
    </row>
    <row r="333" spans="1:9" ht="15" customHeight="1" x14ac:dyDescent="0.3">
      <c r="A333" s="13">
        <f>IF(332&lt;='HELOC Calculator'!$B$16,332,"")</f>
        <v>332</v>
      </c>
      <c r="B333" s="14">
        <f t="shared" si="22"/>
        <v>56281</v>
      </c>
      <c r="C333" s="13" t="str">
        <f>IF($A333="","",IF($A333&lt;='HELOC Calculator'!$B$14,"Draw","Repayment"))</f>
        <v>Repayment</v>
      </c>
      <c r="D333" s="15">
        <f t="shared" si="23"/>
        <v>23861.310916819941</v>
      </c>
      <c r="E333" s="15">
        <f>IF($A333="","",IF($C333="Draw",'HELOC Calculator'!$B$7,0))</f>
        <v>0</v>
      </c>
      <c r="F333" s="15">
        <f>IF($A333="","",$D333*('HELOC Calculator'!$B$8/12))</f>
        <v>169.01761899414126</v>
      </c>
      <c r="G333" s="15">
        <f>IF($A333="","",IF($C333="Draw",$F333,'HELOC Calculator'!$B$18))</f>
        <v>362.35218755795904</v>
      </c>
      <c r="H333" s="15">
        <f t="shared" si="20"/>
        <v>193.33456856381778</v>
      </c>
      <c r="I333" s="15">
        <f t="shared" si="21"/>
        <v>23667.976348256125</v>
      </c>
    </row>
    <row r="334" spans="1:9" ht="15" customHeight="1" x14ac:dyDescent="0.3">
      <c r="A334" s="13">
        <f>IF(333&lt;='HELOC Calculator'!$B$16,333,"")</f>
        <v>333</v>
      </c>
      <c r="B334" s="14">
        <f t="shared" si="22"/>
        <v>56309</v>
      </c>
      <c r="C334" s="13" t="str">
        <f>IF($A334="","",IF($A334&lt;='HELOC Calculator'!$B$14,"Draw","Repayment"))</f>
        <v>Repayment</v>
      </c>
      <c r="D334" s="15">
        <f t="shared" si="23"/>
        <v>23667.976348256125</v>
      </c>
      <c r="E334" s="15">
        <f>IF($A334="","",IF($C334="Draw",'HELOC Calculator'!$B$7,0))</f>
        <v>0</v>
      </c>
      <c r="F334" s="15">
        <f>IF($A334="","",$D334*('HELOC Calculator'!$B$8/12))</f>
        <v>167.64816580014755</v>
      </c>
      <c r="G334" s="15">
        <f>IF($A334="","",IF($C334="Draw",$F334,'HELOC Calculator'!$B$18))</f>
        <v>362.35218755795904</v>
      </c>
      <c r="H334" s="15">
        <f t="shared" si="20"/>
        <v>194.70402175781149</v>
      </c>
      <c r="I334" s="15">
        <f t="shared" si="21"/>
        <v>23473.272326498314</v>
      </c>
    </row>
    <row r="335" spans="1:9" ht="15" customHeight="1" x14ac:dyDescent="0.3">
      <c r="A335" s="13">
        <f>IF(334&lt;='HELOC Calculator'!$B$16,334,"")</f>
        <v>334</v>
      </c>
      <c r="B335" s="14">
        <f t="shared" si="22"/>
        <v>56340</v>
      </c>
      <c r="C335" s="13" t="str">
        <f>IF($A335="","",IF($A335&lt;='HELOC Calculator'!$B$14,"Draw","Repayment"))</f>
        <v>Repayment</v>
      </c>
      <c r="D335" s="15">
        <f t="shared" si="23"/>
        <v>23473.272326498314</v>
      </c>
      <c r="E335" s="15">
        <f>IF($A335="","",IF($C335="Draw",'HELOC Calculator'!$B$7,0))</f>
        <v>0</v>
      </c>
      <c r="F335" s="15">
        <f>IF($A335="","",$D335*('HELOC Calculator'!$B$8/12))</f>
        <v>166.26901231269642</v>
      </c>
      <c r="G335" s="15">
        <f>IF($A335="","",IF($C335="Draw",$F335,'HELOC Calculator'!$B$18))</f>
        <v>362.35218755795904</v>
      </c>
      <c r="H335" s="15">
        <f t="shared" si="20"/>
        <v>196.08317524526262</v>
      </c>
      <c r="I335" s="15">
        <f t="shared" si="21"/>
        <v>23277.189151253053</v>
      </c>
    </row>
    <row r="336" spans="1:9" ht="15" customHeight="1" x14ac:dyDescent="0.3">
      <c r="A336" s="13">
        <f>IF(335&lt;='HELOC Calculator'!$B$16,335,"")</f>
        <v>335</v>
      </c>
      <c r="B336" s="14">
        <f t="shared" si="22"/>
        <v>56370</v>
      </c>
      <c r="C336" s="13" t="str">
        <f>IF($A336="","",IF($A336&lt;='HELOC Calculator'!$B$14,"Draw","Repayment"))</f>
        <v>Repayment</v>
      </c>
      <c r="D336" s="15">
        <f t="shared" si="23"/>
        <v>23277.189151253053</v>
      </c>
      <c r="E336" s="15">
        <f>IF($A336="","",IF($C336="Draw",'HELOC Calculator'!$B$7,0))</f>
        <v>0</v>
      </c>
      <c r="F336" s="15">
        <f>IF($A336="","",$D336*('HELOC Calculator'!$B$8/12))</f>
        <v>164.8800898213758</v>
      </c>
      <c r="G336" s="15">
        <f>IF($A336="","",IF($C336="Draw",$F336,'HELOC Calculator'!$B$18))</f>
        <v>362.35218755795904</v>
      </c>
      <c r="H336" s="15">
        <f t="shared" si="20"/>
        <v>197.47209773658324</v>
      </c>
      <c r="I336" s="15">
        <f t="shared" si="21"/>
        <v>23079.71705351647</v>
      </c>
    </row>
    <row r="337" spans="1:9" ht="15" customHeight="1" x14ac:dyDescent="0.3">
      <c r="A337" s="13">
        <f>IF(336&lt;='HELOC Calculator'!$B$16,336,"")</f>
        <v>336</v>
      </c>
      <c r="B337" s="14">
        <f t="shared" si="22"/>
        <v>56401</v>
      </c>
      <c r="C337" s="13" t="str">
        <f>IF($A337="","",IF($A337&lt;='HELOC Calculator'!$B$14,"Draw","Repayment"))</f>
        <v>Repayment</v>
      </c>
      <c r="D337" s="15">
        <f t="shared" si="23"/>
        <v>23079.71705351647</v>
      </c>
      <c r="E337" s="15">
        <f>IF($A337="","",IF($C337="Draw",'HELOC Calculator'!$B$7,0))</f>
        <v>0</v>
      </c>
      <c r="F337" s="15">
        <f>IF($A337="","",$D337*('HELOC Calculator'!$B$8/12))</f>
        <v>163.48132912907499</v>
      </c>
      <c r="G337" s="15">
        <f>IF($A337="","",IF($C337="Draw",$F337,'HELOC Calculator'!$B$18))</f>
        <v>362.35218755795904</v>
      </c>
      <c r="H337" s="15">
        <f t="shared" si="20"/>
        <v>198.87085842888405</v>
      </c>
      <c r="I337" s="15">
        <f t="shared" si="21"/>
        <v>22880.846195087586</v>
      </c>
    </row>
    <row r="338" spans="1:9" ht="15" customHeight="1" x14ac:dyDescent="0.3">
      <c r="A338" s="13">
        <f>IF(337&lt;='HELOC Calculator'!$B$16,337,"")</f>
        <v>337</v>
      </c>
      <c r="B338" s="14">
        <f t="shared" si="22"/>
        <v>56431</v>
      </c>
      <c r="C338" s="13" t="str">
        <f>IF($A338="","",IF($A338&lt;='HELOC Calculator'!$B$14,"Draw","Repayment"))</f>
        <v>Repayment</v>
      </c>
      <c r="D338" s="15">
        <f t="shared" si="23"/>
        <v>22880.846195087586</v>
      </c>
      <c r="E338" s="15">
        <f>IF($A338="","",IF($C338="Draw",'HELOC Calculator'!$B$7,0))</f>
        <v>0</v>
      </c>
      <c r="F338" s="15">
        <f>IF($A338="","",$D338*('HELOC Calculator'!$B$8/12))</f>
        <v>162.07266054853707</v>
      </c>
      <c r="G338" s="15">
        <f>IF($A338="","",IF($C338="Draw",$F338,'HELOC Calculator'!$B$18))</f>
        <v>362.35218755795904</v>
      </c>
      <c r="H338" s="15">
        <f t="shared" si="20"/>
        <v>200.27952700942197</v>
      </c>
      <c r="I338" s="15">
        <f t="shared" si="21"/>
        <v>22680.566668078165</v>
      </c>
    </row>
    <row r="339" spans="1:9" ht="15" customHeight="1" x14ac:dyDescent="0.3">
      <c r="A339" s="13">
        <f>IF(338&lt;='HELOC Calculator'!$B$16,338,"")</f>
        <v>338</v>
      </c>
      <c r="B339" s="14">
        <f t="shared" si="22"/>
        <v>56462</v>
      </c>
      <c r="C339" s="13" t="str">
        <f>IF($A339="","",IF($A339&lt;='HELOC Calculator'!$B$14,"Draw","Repayment"))</f>
        <v>Repayment</v>
      </c>
      <c r="D339" s="15">
        <f t="shared" si="23"/>
        <v>22680.566668078165</v>
      </c>
      <c r="E339" s="15">
        <f>IF($A339="","",IF($C339="Draw",'HELOC Calculator'!$B$7,0))</f>
        <v>0</v>
      </c>
      <c r="F339" s="15">
        <f>IF($A339="","",$D339*('HELOC Calculator'!$B$8/12))</f>
        <v>160.654013898887</v>
      </c>
      <c r="G339" s="15">
        <f>IF($A339="","",IF($C339="Draw",$F339,'HELOC Calculator'!$B$18))</f>
        <v>362.35218755795904</v>
      </c>
      <c r="H339" s="15">
        <f t="shared" si="20"/>
        <v>201.69817365907204</v>
      </c>
      <c r="I339" s="15">
        <f t="shared" si="21"/>
        <v>22478.868494419094</v>
      </c>
    </row>
    <row r="340" spans="1:9" ht="15" customHeight="1" x14ac:dyDescent="0.3">
      <c r="A340" s="13">
        <f>IF(339&lt;='HELOC Calculator'!$B$16,339,"")</f>
        <v>339</v>
      </c>
      <c r="B340" s="14">
        <f t="shared" si="22"/>
        <v>56493</v>
      </c>
      <c r="C340" s="13" t="str">
        <f>IF($A340="","",IF($A340&lt;='HELOC Calculator'!$B$14,"Draw","Repayment"))</f>
        <v>Repayment</v>
      </c>
      <c r="D340" s="15">
        <f t="shared" si="23"/>
        <v>22478.868494419094</v>
      </c>
      <c r="E340" s="15">
        <f>IF($A340="","",IF($C340="Draw",'HELOC Calculator'!$B$7,0))</f>
        <v>0</v>
      </c>
      <c r="F340" s="15">
        <f>IF($A340="","",$D340*('HELOC Calculator'!$B$8/12))</f>
        <v>159.22531850213525</v>
      </c>
      <c r="G340" s="15">
        <f>IF($A340="","",IF($C340="Draw",$F340,'HELOC Calculator'!$B$18))</f>
        <v>362.35218755795904</v>
      </c>
      <c r="H340" s="15">
        <f t="shared" si="20"/>
        <v>203.12686905582379</v>
      </c>
      <c r="I340" s="15">
        <f t="shared" si="21"/>
        <v>22275.741625363269</v>
      </c>
    </row>
    <row r="341" spans="1:9" ht="15" customHeight="1" x14ac:dyDescent="0.3">
      <c r="A341" s="13">
        <f>IF(340&lt;='HELOC Calculator'!$B$16,340,"")</f>
        <v>340</v>
      </c>
      <c r="B341" s="14">
        <f t="shared" si="22"/>
        <v>56523</v>
      </c>
      <c r="C341" s="13" t="str">
        <f>IF($A341="","",IF($A341&lt;='HELOC Calculator'!$B$14,"Draw","Repayment"))</f>
        <v>Repayment</v>
      </c>
      <c r="D341" s="15">
        <f t="shared" si="23"/>
        <v>22275.741625363269</v>
      </c>
      <c r="E341" s="15">
        <f>IF($A341="","",IF($C341="Draw",'HELOC Calculator'!$B$7,0))</f>
        <v>0</v>
      </c>
      <c r="F341" s="15">
        <f>IF($A341="","",$D341*('HELOC Calculator'!$B$8/12))</f>
        <v>157.78650317965651</v>
      </c>
      <c r="G341" s="15">
        <f>IF($A341="","",IF($C341="Draw",$F341,'HELOC Calculator'!$B$18))</f>
        <v>362.35218755795904</v>
      </c>
      <c r="H341" s="15">
        <f t="shared" si="20"/>
        <v>204.56568437830254</v>
      </c>
      <c r="I341" s="15">
        <f t="shared" si="21"/>
        <v>22071.175940984966</v>
      </c>
    </row>
    <row r="342" spans="1:9" ht="15" customHeight="1" x14ac:dyDescent="0.3">
      <c r="A342" s="13">
        <f>IF(341&lt;='HELOC Calculator'!$B$16,341,"")</f>
        <v>341</v>
      </c>
      <c r="B342" s="14">
        <f t="shared" si="22"/>
        <v>56554</v>
      </c>
      <c r="C342" s="13" t="str">
        <f>IF($A342="","",IF($A342&lt;='HELOC Calculator'!$B$14,"Draw","Repayment"))</f>
        <v>Repayment</v>
      </c>
      <c r="D342" s="15">
        <f t="shared" si="23"/>
        <v>22071.175940984966</v>
      </c>
      <c r="E342" s="15">
        <f>IF($A342="","",IF($C342="Draw",'HELOC Calculator'!$B$7,0))</f>
        <v>0</v>
      </c>
      <c r="F342" s="15">
        <f>IF($A342="","",$D342*('HELOC Calculator'!$B$8/12))</f>
        <v>156.3374962486435</v>
      </c>
      <c r="G342" s="15">
        <f>IF($A342="","",IF($C342="Draw",$F342,'HELOC Calculator'!$B$18))</f>
        <v>362.35218755795904</v>
      </c>
      <c r="H342" s="15">
        <f t="shared" si="20"/>
        <v>206.01469130931554</v>
      </c>
      <c r="I342" s="15">
        <f t="shared" si="21"/>
        <v>21865.16124967565</v>
      </c>
    </row>
    <row r="343" spans="1:9" ht="15" customHeight="1" x14ac:dyDescent="0.3">
      <c r="A343" s="13">
        <f>IF(342&lt;='HELOC Calculator'!$B$16,342,"")</f>
        <v>342</v>
      </c>
      <c r="B343" s="14">
        <f t="shared" si="22"/>
        <v>56584</v>
      </c>
      <c r="C343" s="13" t="str">
        <f>IF($A343="","",IF($A343&lt;='HELOC Calculator'!$B$14,"Draw","Repayment"))</f>
        <v>Repayment</v>
      </c>
      <c r="D343" s="15">
        <f t="shared" si="23"/>
        <v>21865.16124967565</v>
      </c>
      <c r="E343" s="15">
        <f>IF($A343="","",IF($C343="Draw",'HELOC Calculator'!$B$7,0))</f>
        <v>0</v>
      </c>
      <c r="F343" s="15">
        <f>IF($A343="","",$D343*('HELOC Calculator'!$B$8/12))</f>
        <v>154.87822551853586</v>
      </c>
      <c r="G343" s="15">
        <f>IF($A343="","",IF($C343="Draw",$F343,'HELOC Calculator'!$B$18))</f>
        <v>362.35218755795904</v>
      </c>
      <c r="H343" s="15">
        <f t="shared" si="20"/>
        <v>207.47396203942318</v>
      </c>
      <c r="I343" s="15">
        <f t="shared" si="21"/>
        <v>21657.687287636225</v>
      </c>
    </row>
    <row r="344" spans="1:9" ht="15" customHeight="1" x14ac:dyDescent="0.3">
      <c r="A344" s="13">
        <f>IF(343&lt;='HELOC Calculator'!$B$16,343,"")</f>
        <v>343</v>
      </c>
      <c r="B344" s="14">
        <f t="shared" si="22"/>
        <v>56615</v>
      </c>
      <c r="C344" s="13" t="str">
        <f>IF($A344="","",IF($A344&lt;='HELOC Calculator'!$B$14,"Draw","Repayment"))</f>
        <v>Repayment</v>
      </c>
      <c r="D344" s="15">
        <f t="shared" si="23"/>
        <v>21657.687287636225</v>
      </c>
      <c r="E344" s="15">
        <f>IF($A344="","",IF($C344="Draw",'HELOC Calculator'!$B$7,0))</f>
        <v>0</v>
      </c>
      <c r="F344" s="15">
        <f>IF($A344="","",$D344*('HELOC Calculator'!$B$8/12))</f>
        <v>153.40861828742328</v>
      </c>
      <c r="G344" s="15">
        <f>IF($A344="","",IF($C344="Draw",$F344,'HELOC Calculator'!$B$18))</f>
        <v>362.35218755795904</v>
      </c>
      <c r="H344" s="15">
        <f t="shared" si="20"/>
        <v>208.94356927053576</v>
      </c>
      <c r="I344" s="15">
        <f t="shared" si="21"/>
        <v>21448.743718365688</v>
      </c>
    </row>
    <row r="345" spans="1:9" ht="15" customHeight="1" x14ac:dyDescent="0.3">
      <c r="A345" s="13">
        <f>IF(344&lt;='HELOC Calculator'!$B$16,344,"")</f>
        <v>344</v>
      </c>
      <c r="B345" s="14">
        <f t="shared" si="22"/>
        <v>56646</v>
      </c>
      <c r="C345" s="13" t="str">
        <f>IF($A345="","",IF($A345&lt;='HELOC Calculator'!$B$14,"Draw","Repayment"))</f>
        <v>Repayment</v>
      </c>
      <c r="D345" s="15">
        <f t="shared" si="23"/>
        <v>21448.743718365688</v>
      </c>
      <c r="E345" s="15">
        <f>IF($A345="","",IF($C345="Draw",'HELOC Calculator'!$B$7,0))</f>
        <v>0</v>
      </c>
      <c r="F345" s="15">
        <f>IF($A345="","",$D345*('HELOC Calculator'!$B$8/12))</f>
        <v>151.92860133842362</v>
      </c>
      <c r="G345" s="15">
        <f>IF($A345="","",IF($C345="Draw",$F345,'HELOC Calculator'!$B$18))</f>
        <v>362.35218755795904</v>
      </c>
      <c r="H345" s="15">
        <f t="shared" si="20"/>
        <v>210.42358621953542</v>
      </c>
      <c r="I345" s="15">
        <f t="shared" si="21"/>
        <v>21238.320132146153</v>
      </c>
    </row>
    <row r="346" spans="1:9" ht="15" customHeight="1" x14ac:dyDescent="0.3">
      <c r="A346" s="13">
        <f>IF(345&lt;='HELOC Calculator'!$B$16,345,"")</f>
        <v>345</v>
      </c>
      <c r="B346" s="14">
        <f t="shared" si="22"/>
        <v>56674</v>
      </c>
      <c r="C346" s="13" t="str">
        <f>IF($A346="","",IF($A346&lt;='HELOC Calculator'!$B$14,"Draw","Repayment"))</f>
        <v>Repayment</v>
      </c>
      <c r="D346" s="15">
        <f t="shared" si="23"/>
        <v>21238.320132146153</v>
      </c>
      <c r="E346" s="15">
        <f>IF($A346="","",IF($C346="Draw",'HELOC Calculator'!$B$7,0))</f>
        <v>0</v>
      </c>
      <c r="F346" s="15">
        <f>IF($A346="","",$D346*('HELOC Calculator'!$B$8/12))</f>
        <v>150.43810093603526</v>
      </c>
      <c r="G346" s="15">
        <f>IF($A346="","",IF($C346="Draw",$F346,'HELOC Calculator'!$B$18))</f>
        <v>362.35218755795904</v>
      </c>
      <c r="H346" s="15">
        <f t="shared" si="20"/>
        <v>211.91408662192379</v>
      </c>
      <c r="I346" s="15">
        <f t="shared" si="21"/>
        <v>21026.406045524229</v>
      </c>
    </row>
    <row r="347" spans="1:9" ht="15" customHeight="1" x14ac:dyDescent="0.3">
      <c r="A347" s="13">
        <f>IF(346&lt;='HELOC Calculator'!$B$16,346,"")</f>
        <v>346</v>
      </c>
      <c r="B347" s="14">
        <f t="shared" si="22"/>
        <v>56705</v>
      </c>
      <c r="C347" s="13" t="str">
        <f>IF($A347="","",IF($A347&lt;='HELOC Calculator'!$B$14,"Draw","Repayment"))</f>
        <v>Repayment</v>
      </c>
      <c r="D347" s="15">
        <f t="shared" si="23"/>
        <v>21026.406045524229</v>
      </c>
      <c r="E347" s="15">
        <f>IF($A347="","",IF($C347="Draw",'HELOC Calculator'!$B$7,0))</f>
        <v>0</v>
      </c>
      <c r="F347" s="15">
        <f>IF($A347="","",$D347*('HELOC Calculator'!$B$8/12))</f>
        <v>148.9370428224633</v>
      </c>
      <c r="G347" s="15">
        <f>IF($A347="","",IF($C347="Draw",$F347,'HELOC Calculator'!$B$18))</f>
        <v>362.35218755795904</v>
      </c>
      <c r="H347" s="15">
        <f t="shared" si="20"/>
        <v>213.41514473549574</v>
      </c>
      <c r="I347" s="15">
        <f t="shared" si="21"/>
        <v>20812.990900788733</v>
      </c>
    </row>
    <row r="348" spans="1:9" ht="15" customHeight="1" x14ac:dyDescent="0.3">
      <c r="A348" s="13">
        <f>IF(347&lt;='HELOC Calculator'!$B$16,347,"")</f>
        <v>347</v>
      </c>
      <c r="B348" s="14">
        <f t="shared" si="22"/>
        <v>56735</v>
      </c>
      <c r="C348" s="13" t="str">
        <f>IF($A348="","",IF($A348&lt;='HELOC Calculator'!$B$14,"Draw","Repayment"))</f>
        <v>Repayment</v>
      </c>
      <c r="D348" s="15">
        <f t="shared" si="23"/>
        <v>20812.990900788733</v>
      </c>
      <c r="E348" s="15">
        <f>IF($A348="","",IF($C348="Draw",'HELOC Calculator'!$B$7,0))</f>
        <v>0</v>
      </c>
      <c r="F348" s="15">
        <f>IF($A348="","",$D348*('HELOC Calculator'!$B$8/12))</f>
        <v>147.42535221392021</v>
      </c>
      <c r="G348" s="15">
        <f>IF($A348="","",IF($C348="Draw",$F348,'HELOC Calculator'!$B$18))</f>
        <v>362.35218755795904</v>
      </c>
      <c r="H348" s="15">
        <f t="shared" si="20"/>
        <v>214.92683534403884</v>
      </c>
      <c r="I348" s="15">
        <f t="shared" si="21"/>
        <v>20598.064065444694</v>
      </c>
    </row>
    <row r="349" spans="1:9" ht="15" customHeight="1" x14ac:dyDescent="0.3">
      <c r="A349" s="13">
        <f>IF(348&lt;='HELOC Calculator'!$B$16,348,"")</f>
        <v>348</v>
      </c>
      <c r="B349" s="14">
        <f t="shared" si="22"/>
        <v>56766</v>
      </c>
      <c r="C349" s="13" t="str">
        <f>IF($A349="","",IF($A349&lt;='HELOC Calculator'!$B$14,"Draw","Repayment"))</f>
        <v>Repayment</v>
      </c>
      <c r="D349" s="15">
        <f t="shared" si="23"/>
        <v>20598.064065444694</v>
      </c>
      <c r="E349" s="15">
        <f>IF($A349="","",IF($C349="Draw",'HELOC Calculator'!$B$7,0))</f>
        <v>0</v>
      </c>
      <c r="F349" s="15">
        <f>IF($A349="","",$D349*('HELOC Calculator'!$B$8/12))</f>
        <v>145.90295379689994</v>
      </c>
      <c r="G349" s="15">
        <f>IF($A349="","",IF($C349="Draw",$F349,'HELOC Calculator'!$B$18))</f>
        <v>362.35218755795904</v>
      </c>
      <c r="H349" s="15">
        <f t="shared" si="20"/>
        <v>216.44923376105911</v>
      </c>
      <c r="I349" s="15">
        <f t="shared" si="21"/>
        <v>20381.614831683633</v>
      </c>
    </row>
    <row r="350" spans="1:9" ht="15" customHeight="1" x14ac:dyDescent="0.3">
      <c r="A350" s="13">
        <f>IF(349&lt;='HELOC Calculator'!$B$16,349,"")</f>
        <v>349</v>
      </c>
      <c r="B350" s="14">
        <f t="shared" si="22"/>
        <v>56796</v>
      </c>
      <c r="C350" s="13" t="str">
        <f>IF($A350="","",IF($A350&lt;='HELOC Calculator'!$B$14,"Draw","Repayment"))</f>
        <v>Repayment</v>
      </c>
      <c r="D350" s="15">
        <f t="shared" si="23"/>
        <v>20381.614831683633</v>
      </c>
      <c r="E350" s="15">
        <f>IF($A350="","",IF($C350="Draw",'HELOC Calculator'!$B$7,0))</f>
        <v>0</v>
      </c>
      <c r="F350" s="15">
        <f>IF($A350="","",$D350*('HELOC Calculator'!$B$8/12))</f>
        <v>144.36977172442576</v>
      </c>
      <c r="G350" s="15">
        <f>IF($A350="","",IF($C350="Draw",$F350,'HELOC Calculator'!$B$18))</f>
        <v>362.35218755795904</v>
      </c>
      <c r="H350" s="15">
        <f t="shared" si="20"/>
        <v>217.98241583353328</v>
      </c>
      <c r="I350" s="15">
        <f t="shared" si="21"/>
        <v>20163.632415850101</v>
      </c>
    </row>
    <row r="351" spans="1:9" ht="15" customHeight="1" x14ac:dyDescent="0.3">
      <c r="A351" s="13">
        <f>IF(350&lt;='HELOC Calculator'!$B$16,350,"")</f>
        <v>350</v>
      </c>
      <c r="B351" s="14">
        <f t="shared" si="22"/>
        <v>56827</v>
      </c>
      <c r="C351" s="13" t="str">
        <f>IF($A351="","",IF($A351&lt;='HELOC Calculator'!$B$14,"Draw","Repayment"))</f>
        <v>Repayment</v>
      </c>
      <c r="D351" s="15">
        <f t="shared" si="23"/>
        <v>20163.632415850101</v>
      </c>
      <c r="E351" s="15">
        <f>IF($A351="","",IF($C351="Draw",'HELOC Calculator'!$B$7,0))</f>
        <v>0</v>
      </c>
      <c r="F351" s="15">
        <f>IF($A351="","",$D351*('HELOC Calculator'!$B$8/12))</f>
        <v>142.82572961227157</v>
      </c>
      <c r="G351" s="15">
        <f>IF($A351="","",IF($C351="Draw",$F351,'HELOC Calculator'!$B$18))</f>
        <v>362.35218755795904</v>
      </c>
      <c r="H351" s="15">
        <f t="shared" si="20"/>
        <v>219.52645794568747</v>
      </c>
      <c r="I351" s="15">
        <f t="shared" si="21"/>
        <v>19944.105957904412</v>
      </c>
    </row>
    <row r="352" spans="1:9" ht="15" customHeight="1" x14ac:dyDescent="0.3">
      <c r="A352" s="13">
        <f>IF(351&lt;='HELOC Calculator'!$B$16,351,"")</f>
        <v>351</v>
      </c>
      <c r="B352" s="14">
        <f t="shared" si="22"/>
        <v>56858</v>
      </c>
      <c r="C352" s="13" t="str">
        <f>IF($A352="","",IF($A352&lt;='HELOC Calculator'!$B$14,"Draw","Repayment"))</f>
        <v>Repayment</v>
      </c>
      <c r="D352" s="15">
        <f t="shared" si="23"/>
        <v>19944.105957904412</v>
      </c>
      <c r="E352" s="15">
        <f>IF($A352="","",IF($C352="Draw",'HELOC Calculator'!$B$7,0))</f>
        <v>0</v>
      </c>
      <c r="F352" s="15">
        <f>IF($A352="","",$D352*('HELOC Calculator'!$B$8/12))</f>
        <v>141.27075053515625</v>
      </c>
      <c r="G352" s="15">
        <f>IF($A352="","",IF($C352="Draw",$F352,'HELOC Calculator'!$B$18))</f>
        <v>362.35218755795904</v>
      </c>
      <c r="H352" s="15">
        <f t="shared" si="20"/>
        <v>221.08143702280279</v>
      </c>
      <c r="I352" s="15">
        <f t="shared" si="21"/>
        <v>19723.024520881609</v>
      </c>
    </row>
    <row r="353" spans="1:9" ht="15" customHeight="1" x14ac:dyDescent="0.3">
      <c r="A353" s="13">
        <f>IF(352&lt;='HELOC Calculator'!$B$16,352,"")</f>
        <v>352</v>
      </c>
      <c r="B353" s="14">
        <f t="shared" si="22"/>
        <v>56888</v>
      </c>
      <c r="C353" s="13" t="str">
        <f>IF($A353="","",IF($A353&lt;='HELOC Calculator'!$B$14,"Draw","Repayment"))</f>
        <v>Repayment</v>
      </c>
      <c r="D353" s="15">
        <f t="shared" si="23"/>
        <v>19723.024520881609</v>
      </c>
      <c r="E353" s="15">
        <f>IF($A353="","",IF($C353="Draw",'HELOC Calculator'!$B$7,0))</f>
        <v>0</v>
      </c>
      <c r="F353" s="15">
        <f>IF($A353="","",$D353*('HELOC Calculator'!$B$8/12))</f>
        <v>139.70475702291139</v>
      </c>
      <c r="G353" s="15">
        <f>IF($A353="","",IF($C353="Draw",$F353,'HELOC Calculator'!$B$18))</f>
        <v>362.35218755795904</v>
      </c>
      <c r="H353" s="15">
        <f t="shared" si="20"/>
        <v>222.64743053504765</v>
      </c>
      <c r="I353" s="15">
        <f t="shared" si="21"/>
        <v>19500.377090346559</v>
      </c>
    </row>
    <row r="354" spans="1:9" ht="15" customHeight="1" x14ac:dyDescent="0.3">
      <c r="A354" s="13">
        <f>IF(353&lt;='HELOC Calculator'!$B$16,353,"")</f>
        <v>353</v>
      </c>
      <c r="B354" s="14">
        <f t="shared" si="22"/>
        <v>56919</v>
      </c>
      <c r="C354" s="13" t="str">
        <f>IF($A354="","",IF($A354&lt;='HELOC Calculator'!$B$14,"Draw","Repayment"))</f>
        <v>Repayment</v>
      </c>
      <c r="D354" s="15">
        <f t="shared" si="23"/>
        <v>19500.377090346559</v>
      </c>
      <c r="E354" s="15">
        <f>IF($A354="","",IF($C354="Draw",'HELOC Calculator'!$B$7,0))</f>
        <v>0</v>
      </c>
      <c r="F354" s="15">
        <f>IF($A354="","",$D354*('HELOC Calculator'!$B$8/12))</f>
        <v>138.12767105662147</v>
      </c>
      <c r="G354" s="15">
        <f>IF($A354="","",IF($C354="Draw",$F354,'HELOC Calculator'!$B$18))</f>
        <v>362.35218755795904</v>
      </c>
      <c r="H354" s="15">
        <f t="shared" si="20"/>
        <v>224.22451650133758</v>
      </c>
      <c r="I354" s="15">
        <f t="shared" si="21"/>
        <v>19276.152573845222</v>
      </c>
    </row>
    <row r="355" spans="1:9" ht="15" customHeight="1" x14ac:dyDescent="0.3">
      <c r="A355" s="13">
        <f>IF(354&lt;='HELOC Calculator'!$B$16,354,"")</f>
        <v>354</v>
      </c>
      <c r="B355" s="14">
        <f t="shared" si="22"/>
        <v>56949</v>
      </c>
      <c r="C355" s="13" t="str">
        <f>IF($A355="","",IF($A355&lt;='HELOC Calculator'!$B$14,"Draw","Repayment"))</f>
        <v>Repayment</v>
      </c>
      <c r="D355" s="15">
        <f t="shared" si="23"/>
        <v>19276.152573845222</v>
      </c>
      <c r="E355" s="15">
        <f>IF($A355="","",IF($C355="Draw",'HELOC Calculator'!$B$7,0))</f>
        <v>0</v>
      </c>
      <c r="F355" s="15">
        <f>IF($A355="","",$D355*('HELOC Calculator'!$B$8/12))</f>
        <v>136.539414064737</v>
      </c>
      <c r="G355" s="15">
        <f>IF($A355="","",IF($C355="Draw",$F355,'HELOC Calculator'!$B$18))</f>
        <v>362.35218755795904</v>
      </c>
      <c r="H355" s="15">
        <f t="shared" si="20"/>
        <v>225.81277349322204</v>
      </c>
      <c r="I355" s="15">
        <f t="shared" si="21"/>
        <v>19050.339800352001</v>
      </c>
    </row>
    <row r="356" spans="1:9" ht="15" customHeight="1" x14ac:dyDescent="0.3">
      <c r="A356" s="13">
        <f>IF(355&lt;='HELOC Calculator'!$B$16,355,"")</f>
        <v>355</v>
      </c>
      <c r="B356" s="14">
        <f t="shared" si="22"/>
        <v>56980</v>
      </c>
      <c r="C356" s="13" t="str">
        <f>IF($A356="","",IF($A356&lt;='HELOC Calculator'!$B$14,"Draw","Repayment"))</f>
        <v>Repayment</v>
      </c>
      <c r="D356" s="15">
        <f t="shared" si="23"/>
        <v>19050.339800352001</v>
      </c>
      <c r="E356" s="15">
        <f>IF($A356="","",IF($C356="Draw",'HELOC Calculator'!$B$7,0))</f>
        <v>0</v>
      </c>
      <c r="F356" s="15">
        <f>IF($A356="","",$D356*('HELOC Calculator'!$B$8/12))</f>
        <v>134.93990691916002</v>
      </c>
      <c r="G356" s="15">
        <f>IF($A356="","",IF($C356="Draw",$F356,'HELOC Calculator'!$B$18))</f>
        <v>362.35218755795904</v>
      </c>
      <c r="H356" s="15">
        <f t="shared" si="20"/>
        <v>227.41228063879902</v>
      </c>
      <c r="I356" s="15">
        <f t="shared" si="21"/>
        <v>18822.927519713201</v>
      </c>
    </row>
    <row r="357" spans="1:9" ht="15" customHeight="1" x14ac:dyDescent="0.3">
      <c r="A357" s="13">
        <f>IF(356&lt;='HELOC Calculator'!$B$16,356,"")</f>
        <v>356</v>
      </c>
      <c r="B357" s="14">
        <f t="shared" si="22"/>
        <v>57011</v>
      </c>
      <c r="C357" s="13" t="str">
        <f>IF($A357="","",IF($A357&lt;='HELOC Calculator'!$B$14,"Draw","Repayment"))</f>
        <v>Repayment</v>
      </c>
      <c r="D357" s="15">
        <f t="shared" si="23"/>
        <v>18822.927519713201</v>
      </c>
      <c r="E357" s="15">
        <f>IF($A357="","",IF($C357="Draw",'HELOC Calculator'!$B$7,0))</f>
        <v>0</v>
      </c>
      <c r="F357" s="15">
        <f>IF($A357="","",$D357*('HELOC Calculator'!$B$8/12))</f>
        <v>133.32906993130186</v>
      </c>
      <c r="G357" s="15">
        <f>IF($A357="","",IF($C357="Draw",$F357,'HELOC Calculator'!$B$18))</f>
        <v>362.35218755795904</v>
      </c>
      <c r="H357" s="15">
        <f t="shared" si="20"/>
        <v>229.02311762665718</v>
      </c>
      <c r="I357" s="15">
        <f t="shared" si="21"/>
        <v>18593.904402086544</v>
      </c>
    </row>
    <row r="358" spans="1:9" ht="15" customHeight="1" x14ac:dyDescent="0.3">
      <c r="A358" s="13">
        <f>IF(357&lt;='HELOC Calculator'!$B$16,357,"")</f>
        <v>357</v>
      </c>
      <c r="B358" s="14">
        <f t="shared" si="22"/>
        <v>57040</v>
      </c>
      <c r="C358" s="13" t="str">
        <f>IF($A358="","",IF($A358&lt;='HELOC Calculator'!$B$14,"Draw","Repayment"))</f>
        <v>Repayment</v>
      </c>
      <c r="D358" s="15">
        <f t="shared" si="23"/>
        <v>18593.904402086544</v>
      </c>
      <c r="E358" s="15">
        <f>IF($A358="","",IF($C358="Draw",'HELOC Calculator'!$B$7,0))</f>
        <v>0</v>
      </c>
      <c r="F358" s="15">
        <f>IF($A358="","",$D358*('HELOC Calculator'!$B$8/12))</f>
        <v>131.70682284811303</v>
      </c>
      <c r="G358" s="15">
        <f>IF($A358="","",IF($C358="Draw",$F358,'HELOC Calculator'!$B$18))</f>
        <v>362.35218755795904</v>
      </c>
      <c r="H358" s="15">
        <f t="shared" si="20"/>
        <v>230.64536470984601</v>
      </c>
      <c r="I358" s="15">
        <f t="shared" si="21"/>
        <v>18363.259037376698</v>
      </c>
    </row>
    <row r="359" spans="1:9" ht="15" customHeight="1" x14ac:dyDescent="0.3">
      <c r="A359" s="13">
        <f>IF(358&lt;='HELOC Calculator'!$B$16,358,"")</f>
        <v>358</v>
      </c>
      <c r="B359" s="14">
        <f t="shared" si="22"/>
        <v>57071</v>
      </c>
      <c r="C359" s="13" t="str">
        <f>IF($A359="","",IF($A359&lt;='HELOC Calculator'!$B$14,"Draw","Repayment"))</f>
        <v>Repayment</v>
      </c>
      <c r="D359" s="15">
        <f t="shared" si="23"/>
        <v>18363.259037376698</v>
      </c>
      <c r="E359" s="15">
        <f>IF($A359="","",IF($C359="Draw",'HELOC Calculator'!$B$7,0))</f>
        <v>0</v>
      </c>
      <c r="F359" s="15">
        <f>IF($A359="","",$D359*('HELOC Calculator'!$B$8/12))</f>
        <v>130.07308484808496</v>
      </c>
      <c r="G359" s="15">
        <f>IF($A359="","",IF($C359="Draw",$F359,'HELOC Calculator'!$B$18))</f>
        <v>362.35218755795904</v>
      </c>
      <c r="H359" s="15">
        <f t="shared" si="20"/>
        <v>232.27910270987408</v>
      </c>
      <c r="I359" s="15">
        <f t="shared" si="21"/>
        <v>18130.979934666822</v>
      </c>
    </row>
    <row r="360" spans="1:9" ht="15" customHeight="1" x14ac:dyDescent="0.3">
      <c r="A360" s="13">
        <f>IF(359&lt;='HELOC Calculator'!$B$16,359,"")</f>
        <v>359</v>
      </c>
      <c r="B360" s="14">
        <f t="shared" si="22"/>
        <v>57101</v>
      </c>
      <c r="C360" s="13" t="str">
        <f>IF($A360="","",IF($A360&lt;='HELOC Calculator'!$B$14,"Draw","Repayment"))</f>
        <v>Repayment</v>
      </c>
      <c r="D360" s="15">
        <f t="shared" si="23"/>
        <v>18130.979934666822</v>
      </c>
      <c r="E360" s="15">
        <f>IF($A360="","",IF($C360="Draw",'HELOC Calculator'!$B$7,0))</f>
        <v>0</v>
      </c>
      <c r="F360" s="15">
        <f>IF($A360="","",$D360*('HELOC Calculator'!$B$8/12))</f>
        <v>128.42777453722334</v>
      </c>
      <c r="G360" s="15">
        <f>IF($A360="","",IF($C360="Draw",$F360,'HELOC Calculator'!$B$18))</f>
        <v>362.35218755795904</v>
      </c>
      <c r="H360" s="15">
        <f t="shared" si="20"/>
        <v>233.9244130207357</v>
      </c>
      <c r="I360" s="15">
        <f t="shared" si="21"/>
        <v>17897.055521646085</v>
      </c>
    </row>
    <row r="361" spans="1:9" ht="15" customHeight="1" x14ac:dyDescent="0.3">
      <c r="A361" s="13">
        <f>IF(360&lt;='HELOC Calculator'!$B$16,360,"")</f>
        <v>360</v>
      </c>
      <c r="B361" s="14">
        <f t="shared" si="22"/>
        <v>57132</v>
      </c>
      <c r="C361" s="13" t="str">
        <f>IF($A361="","",IF($A361&lt;='HELOC Calculator'!$B$14,"Draw","Repayment"))</f>
        <v>Repayment</v>
      </c>
      <c r="D361" s="15">
        <f t="shared" si="23"/>
        <v>17897.055521646085</v>
      </c>
      <c r="E361" s="15">
        <f>IF($A361="","",IF($C361="Draw",'HELOC Calculator'!$B$7,0))</f>
        <v>0</v>
      </c>
      <c r="F361" s="15">
        <f>IF($A361="","",$D361*('HELOC Calculator'!$B$8/12))</f>
        <v>126.77080994499312</v>
      </c>
      <c r="G361" s="15">
        <f>IF($A361="","",IF($C361="Draw",$F361,'HELOC Calculator'!$B$18))</f>
        <v>362.35218755795904</v>
      </c>
      <c r="H361" s="15">
        <f t="shared" si="20"/>
        <v>235.58137761296592</v>
      </c>
      <c r="I361" s="15">
        <f t="shared" si="21"/>
        <v>17661.47414403312</v>
      </c>
    </row>
    <row r="362" spans="1:9" ht="15" customHeight="1" x14ac:dyDescent="0.3">
      <c r="A362" s="13">
        <f>IF(361&lt;='HELOC Calculator'!$B$16,361,"")</f>
        <v>361</v>
      </c>
      <c r="B362" s="14">
        <f t="shared" si="22"/>
        <v>57162</v>
      </c>
      <c r="C362" s="13" t="str">
        <f>IF($A362="","",IF($A362&lt;='HELOC Calculator'!$B$14,"Draw","Repayment"))</f>
        <v>Repayment</v>
      </c>
      <c r="D362" s="15">
        <f t="shared" si="23"/>
        <v>17661.47414403312</v>
      </c>
      <c r="E362" s="15">
        <f>IF($A362="","",IF($C362="Draw",'HELOC Calculator'!$B$7,0))</f>
        <v>0</v>
      </c>
      <c r="F362" s="15">
        <f>IF($A362="","",$D362*('HELOC Calculator'!$B$8/12))</f>
        <v>125.10210852023461</v>
      </c>
      <c r="G362" s="15">
        <f>IF($A362="","",IF($C362="Draw",$F362,'HELOC Calculator'!$B$18))</f>
        <v>362.35218755795904</v>
      </c>
      <c r="H362" s="15">
        <f t="shared" si="20"/>
        <v>237.25007903772445</v>
      </c>
      <c r="I362" s="15">
        <f t="shared" si="21"/>
        <v>17424.224064995396</v>
      </c>
    </row>
    <row r="363" spans="1:9" ht="15" customHeight="1" x14ac:dyDescent="0.3">
      <c r="A363" s="13">
        <f>IF(362&lt;='HELOC Calculator'!$B$16,362,"")</f>
        <v>362</v>
      </c>
      <c r="B363" s="14">
        <f t="shared" si="22"/>
        <v>57193</v>
      </c>
      <c r="C363" s="13" t="str">
        <f>IF($A363="","",IF($A363&lt;='HELOC Calculator'!$B$14,"Draw","Repayment"))</f>
        <v>Repayment</v>
      </c>
      <c r="D363" s="15">
        <f t="shared" si="23"/>
        <v>17424.224064995396</v>
      </c>
      <c r="E363" s="15">
        <f>IF($A363="","",IF($C363="Draw",'HELOC Calculator'!$B$7,0))</f>
        <v>0</v>
      </c>
      <c r="F363" s="15">
        <f>IF($A363="","",$D363*('HELOC Calculator'!$B$8/12))</f>
        <v>123.42158712705073</v>
      </c>
      <c r="G363" s="15">
        <f>IF($A363="","",IF($C363="Draw",$F363,'HELOC Calculator'!$B$18))</f>
        <v>362.35218755795904</v>
      </c>
      <c r="H363" s="15">
        <f t="shared" si="20"/>
        <v>238.93060043090833</v>
      </c>
      <c r="I363" s="15">
        <f t="shared" si="21"/>
        <v>17185.293464564489</v>
      </c>
    </row>
    <row r="364" spans="1:9" ht="15" customHeight="1" x14ac:dyDescent="0.3">
      <c r="A364" s="13">
        <f>IF(363&lt;='HELOC Calculator'!$B$16,363,"")</f>
        <v>363</v>
      </c>
      <c r="B364" s="14">
        <f t="shared" si="22"/>
        <v>57224</v>
      </c>
      <c r="C364" s="13" t="str">
        <f>IF($A364="","",IF($A364&lt;='HELOC Calculator'!$B$14,"Draw","Repayment"))</f>
        <v>Repayment</v>
      </c>
      <c r="D364" s="15">
        <f t="shared" si="23"/>
        <v>17185.293464564489</v>
      </c>
      <c r="E364" s="15">
        <f>IF($A364="","",IF($C364="Draw",'HELOC Calculator'!$B$7,0))</f>
        <v>0</v>
      </c>
      <c r="F364" s="15">
        <f>IF($A364="","",$D364*('HELOC Calculator'!$B$8/12))</f>
        <v>121.72916204066514</v>
      </c>
      <c r="G364" s="15">
        <f>IF($A364="","",IF($C364="Draw",$F364,'HELOC Calculator'!$B$18))</f>
        <v>362.35218755795904</v>
      </c>
      <c r="H364" s="15">
        <f t="shared" si="20"/>
        <v>240.62302551729391</v>
      </c>
      <c r="I364" s="15">
        <f t="shared" si="21"/>
        <v>16944.670439047197</v>
      </c>
    </row>
    <row r="365" spans="1:9" ht="15" customHeight="1" x14ac:dyDescent="0.3">
      <c r="A365" s="13">
        <f>IF(364&lt;='HELOC Calculator'!$B$16,364,"")</f>
        <v>364</v>
      </c>
      <c r="B365" s="14">
        <f t="shared" si="22"/>
        <v>57254</v>
      </c>
      <c r="C365" s="13" t="str">
        <f>IF($A365="","",IF($A365&lt;='HELOC Calculator'!$B$14,"Draw","Repayment"))</f>
        <v>Repayment</v>
      </c>
      <c r="D365" s="15">
        <f t="shared" si="23"/>
        <v>16944.670439047197</v>
      </c>
      <c r="E365" s="15">
        <f>IF($A365="","",IF($C365="Draw",'HELOC Calculator'!$B$7,0))</f>
        <v>0</v>
      </c>
      <c r="F365" s="15">
        <f>IF($A365="","",$D365*('HELOC Calculator'!$B$8/12))</f>
        <v>120.02474894325098</v>
      </c>
      <c r="G365" s="15">
        <f>IF($A365="","",IF($C365="Draw",$F365,'HELOC Calculator'!$B$18))</f>
        <v>362.35218755795904</v>
      </c>
      <c r="H365" s="15">
        <f t="shared" si="20"/>
        <v>242.32743861470806</v>
      </c>
      <c r="I365" s="15">
        <f t="shared" si="21"/>
        <v>16702.343000432487</v>
      </c>
    </row>
    <row r="366" spans="1:9" ht="15" customHeight="1" x14ac:dyDescent="0.3">
      <c r="A366" s="13">
        <f>IF(365&lt;='HELOC Calculator'!$B$16,365,"")</f>
        <v>365</v>
      </c>
      <c r="B366" s="14">
        <f t="shared" si="22"/>
        <v>57285</v>
      </c>
      <c r="C366" s="13" t="str">
        <f>IF($A366="","",IF($A366&lt;='HELOC Calculator'!$B$14,"Draw","Repayment"))</f>
        <v>Repayment</v>
      </c>
      <c r="D366" s="15">
        <f t="shared" si="23"/>
        <v>16702.343000432487</v>
      </c>
      <c r="E366" s="15">
        <f>IF($A366="","",IF($C366="Draw",'HELOC Calculator'!$B$7,0))</f>
        <v>0</v>
      </c>
      <c r="F366" s="15">
        <f>IF($A366="","",$D366*('HELOC Calculator'!$B$8/12))</f>
        <v>118.30826291973013</v>
      </c>
      <c r="G366" s="15">
        <f>IF($A366="","",IF($C366="Draw",$F366,'HELOC Calculator'!$B$18))</f>
        <v>362.35218755795904</v>
      </c>
      <c r="H366" s="15">
        <f t="shared" si="20"/>
        <v>244.04392463822893</v>
      </c>
      <c r="I366" s="15">
        <f t="shared" si="21"/>
        <v>16458.299075794257</v>
      </c>
    </row>
    <row r="367" spans="1:9" ht="15" customHeight="1" x14ac:dyDescent="0.3">
      <c r="A367" s="13">
        <f>IF(366&lt;='HELOC Calculator'!$B$16,366,"")</f>
        <v>366</v>
      </c>
      <c r="B367" s="14">
        <f t="shared" si="22"/>
        <v>57315</v>
      </c>
      <c r="C367" s="13" t="str">
        <f>IF($A367="","",IF($A367&lt;='HELOC Calculator'!$B$14,"Draw","Repayment"))</f>
        <v>Repayment</v>
      </c>
      <c r="D367" s="15">
        <f t="shared" si="23"/>
        <v>16458.299075794257</v>
      </c>
      <c r="E367" s="15">
        <f>IF($A367="","",IF($C367="Draw",'HELOC Calculator'!$B$7,0))</f>
        <v>0</v>
      </c>
      <c r="F367" s="15">
        <f>IF($A367="","",$D367*('HELOC Calculator'!$B$8/12))</f>
        <v>116.57961845354266</v>
      </c>
      <c r="G367" s="15">
        <f>IF($A367="","",IF($C367="Draw",$F367,'HELOC Calculator'!$B$18))</f>
        <v>362.35218755795904</v>
      </c>
      <c r="H367" s="15">
        <f t="shared" si="20"/>
        <v>245.77256910441639</v>
      </c>
      <c r="I367" s="15">
        <f t="shared" si="21"/>
        <v>16212.526506689841</v>
      </c>
    </row>
    <row r="368" spans="1:9" ht="15" customHeight="1" x14ac:dyDescent="0.3">
      <c r="A368" s="13">
        <f>IF(367&lt;='HELOC Calculator'!$B$16,367,"")</f>
        <v>367</v>
      </c>
      <c r="B368" s="14">
        <f t="shared" si="22"/>
        <v>57346</v>
      </c>
      <c r="C368" s="13" t="str">
        <f>IF($A368="","",IF($A368&lt;='HELOC Calculator'!$B$14,"Draw","Repayment"))</f>
        <v>Repayment</v>
      </c>
      <c r="D368" s="15">
        <f t="shared" si="23"/>
        <v>16212.526506689841</v>
      </c>
      <c r="E368" s="15">
        <f>IF($A368="","",IF($C368="Draw",'HELOC Calculator'!$B$7,0))</f>
        <v>0</v>
      </c>
      <c r="F368" s="15">
        <f>IF($A368="","",$D368*('HELOC Calculator'!$B$8/12))</f>
        <v>114.83872942238638</v>
      </c>
      <c r="G368" s="15">
        <f>IF($A368="","",IF($C368="Draw",$F368,'HELOC Calculator'!$B$18))</f>
        <v>362.35218755795904</v>
      </c>
      <c r="H368" s="15">
        <f t="shared" si="20"/>
        <v>247.51345813557265</v>
      </c>
      <c r="I368" s="15">
        <f t="shared" si="21"/>
        <v>15965.013048554269</v>
      </c>
    </row>
    <row r="369" spans="1:9" ht="15" customHeight="1" x14ac:dyDescent="0.3">
      <c r="A369" s="13">
        <f>IF(368&lt;='HELOC Calculator'!$B$16,368,"")</f>
        <v>368</v>
      </c>
      <c r="B369" s="14">
        <f t="shared" si="22"/>
        <v>57377</v>
      </c>
      <c r="C369" s="13" t="str">
        <f>IF($A369="","",IF($A369&lt;='HELOC Calculator'!$B$14,"Draw","Repayment"))</f>
        <v>Repayment</v>
      </c>
      <c r="D369" s="15">
        <f t="shared" si="23"/>
        <v>15965.013048554269</v>
      </c>
      <c r="E369" s="15">
        <f>IF($A369="","",IF($C369="Draw",'HELOC Calculator'!$B$7,0))</f>
        <v>0</v>
      </c>
      <c r="F369" s="15">
        <f>IF($A369="","",$D369*('HELOC Calculator'!$B$8/12))</f>
        <v>113.08550909392608</v>
      </c>
      <c r="G369" s="15">
        <f>IF($A369="","",IF($C369="Draw",$F369,'HELOC Calculator'!$B$18))</f>
        <v>362.35218755795904</v>
      </c>
      <c r="H369" s="15">
        <f t="shared" si="20"/>
        <v>249.26667846403296</v>
      </c>
      <c r="I369" s="15">
        <f t="shared" si="21"/>
        <v>15715.746370090235</v>
      </c>
    </row>
    <row r="370" spans="1:9" ht="15" customHeight="1" x14ac:dyDescent="0.3">
      <c r="A370" s="13">
        <f>IF(369&lt;='HELOC Calculator'!$B$16,369,"")</f>
        <v>369</v>
      </c>
      <c r="B370" s="14">
        <f t="shared" si="22"/>
        <v>57405</v>
      </c>
      <c r="C370" s="13" t="str">
        <f>IF($A370="","",IF($A370&lt;='HELOC Calculator'!$B$14,"Draw","Repayment"))</f>
        <v>Repayment</v>
      </c>
      <c r="D370" s="15">
        <f t="shared" si="23"/>
        <v>15715.746370090235</v>
      </c>
      <c r="E370" s="15">
        <f>IF($A370="","",IF($C370="Draw",'HELOC Calculator'!$B$7,0))</f>
        <v>0</v>
      </c>
      <c r="F370" s="15">
        <f>IF($A370="","",$D370*('HELOC Calculator'!$B$8/12))</f>
        <v>111.3198701214725</v>
      </c>
      <c r="G370" s="15">
        <f>IF($A370="","",IF($C370="Draw",$F370,'HELOC Calculator'!$B$18))</f>
        <v>362.35218755795904</v>
      </c>
      <c r="H370" s="15">
        <f t="shared" si="20"/>
        <v>251.03231743648655</v>
      </c>
      <c r="I370" s="15">
        <f t="shared" si="21"/>
        <v>15464.71405265375</v>
      </c>
    </row>
    <row r="371" spans="1:9" ht="15" customHeight="1" x14ac:dyDescent="0.3">
      <c r="A371" s="13">
        <f>IF(370&lt;='HELOC Calculator'!$B$16,370,"")</f>
        <v>370</v>
      </c>
      <c r="B371" s="14">
        <f t="shared" si="22"/>
        <v>57436</v>
      </c>
      <c r="C371" s="13" t="str">
        <f>IF($A371="","",IF($A371&lt;='HELOC Calculator'!$B$14,"Draw","Repayment"))</f>
        <v>Repayment</v>
      </c>
      <c r="D371" s="15">
        <f t="shared" si="23"/>
        <v>15464.71405265375</v>
      </c>
      <c r="E371" s="15">
        <f>IF($A371="","",IF($C371="Draw",'HELOC Calculator'!$B$7,0))</f>
        <v>0</v>
      </c>
      <c r="F371" s="15">
        <f>IF($A371="","",$D371*('HELOC Calculator'!$B$8/12))</f>
        <v>109.54172453963074</v>
      </c>
      <c r="G371" s="15">
        <f>IF($A371="","",IF($C371="Draw",$F371,'HELOC Calculator'!$B$18))</f>
        <v>362.35218755795904</v>
      </c>
      <c r="H371" s="15">
        <f t="shared" si="20"/>
        <v>252.81046301832831</v>
      </c>
      <c r="I371" s="15">
        <f t="shared" si="21"/>
        <v>15211.903589635422</v>
      </c>
    </row>
    <row r="372" spans="1:9" ht="15" customHeight="1" x14ac:dyDescent="0.3">
      <c r="A372" s="13">
        <f>IF(371&lt;='HELOC Calculator'!$B$16,371,"")</f>
        <v>371</v>
      </c>
      <c r="B372" s="14">
        <f t="shared" si="22"/>
        <v>57466</v>
      </c>
      <c r="C372" s="13" t="str">
        <f>IF($A372="","",IF($A372&lt;='HELOC Calculator'!$B$14,"Draw","Repayment"))</f>
        <v>Repayment</v>
      </c>
      <c r="D372" s="15">
        <f t="shared" si="23"/>
        <v>15211.903589635422</v>
      </c>
      <c r="E372" s="15">
        <f>IF($A372="","",IF($C372="Draw",'HELOC Calculator'!$B$7,0))</f>
        <v>0</v>
      </c>
      <c r="F372" s="15">
        <f>IF($A372="","",$D372*('HELOC Calculator'!$B$8/12))</f>
        <v>107.75098375991757</v>
      </c>
      <c r="G372" s="15">
        <f>IF($A372="","",IF($C372="Draw",$F372,'HELOC Calculator'!$B$18))</f>
        <v>362.35218755795904</v>
      </c>
      <c r="H372" s="15">
        <f t="shared" si="20"/>
        <v>254.60120379804147</v>
      </c>
      <c r="I372" s="15">
        <f t="shared" si="21"/>
        <v>14957.30238583738</v>
      </c>
    </row>
    <row r="373" spans="1:9" ht="15" customHeight="1" x14ac:dyDescent="0.3">
      <c r="A373" s="13">
        <f>IF(372&lt;='HELOC Calculator'!$B$16,372,"")</f>
        <v>372</v>
      </c>
      <c r="B373" s="14">
        <f t="shared" si="22"/>
        <v>57497</v>
      </c>
      <c r="C373" s="13" t="str">
        <f>IF($A373="","",IF($A373&lt;='HELOC Calculator'!$B$14,"Draw","Repayment"))</f>
        <v>Repayment</v>
      </c>
      <c r="D373" s="15">
        <f t="shared" si="23"/>
        <v>14957.30238583738</v>
      </c>
      <c r="E373" s="15">
        <f>IF($A373="","",IF($C373="Draw",'HELOC Calculator'!$B$7,0))</f>
        <v>0</v>
      </c>
      <c r="F373" s="15">
        <f>IF($A373="","",$D373*('HELOC Calculator'!$B$8/12))</f>
        <v>105.94755856634812</v>
      </c>
      <c r="G373" s="15">
        <f>IF($A373="","",IF($C373="Draw",$F373,'HELOC Calculator'!$B$18))</f>
        <v>362.35218755795904</v>
      </c>
      <c r="H373" s="15">
        <f t="shared" si="20"/>
        <v>256.40462899161093</v>
      </c>
      <c r="I373" s="15">
        <f t="shared" si="21"/>
        <v>14700.897756845769</v>
      </c>
    </row>
    <row r="374" spans="1:9" ht="15" customHeight="1" x14ac:dyDescent="0.3">
      <c r="A374" s="13">
        <f>IF(373&lt;='HELOC Calculator'!$B$16,373,"")</f>
        <v>373</v>
      </c>
      <c r="B374" s="14">
        <f t="shared" si="22"/>
        <v>57527</v>
      </c>
      <c r="C374" s="13" t="str">
        <f>IF($A374="","",IF($A374&lt;='HELOC Calculator'!$B$14,"Draw","Repayment"))</f>
        <v>Repayment</v>
      </c>
      <c r="D374" s="15">
        <f t="shared" si="23"/>
        <v>14700.897756845769</v>
      </c>
      <c r="E374" s="15">
        <f>IF($A374="","",IF($C374="Draw",'HELOC Calculator'!$B$7,0))</f>
        <v>0</v>
      </c>
      <c r="F374" s="15">
        <f>IF($A374="","",$D374*('HELOC Calculator'!$B$8/12))</f>
        <v>104.13135911099087</v>
      </c>
      <c r="G374" s="15">
        <f>IF($A374="","",IF($C374="Draw",$F374,'HELOC Calculator'!$B$18))</f>
        <v>362.35218755795904</v>
      </c>
      <c r="H374" s="15">
        <f t="shared" si="20"/>
        <v>258.2208284469682</v>
      </c>
      <c r="I374" s="15">
        <f t="shared" si="21"/>
        <v>14442.6769283988</v>
      </c>
    </row>
    <row r="375" spans="1:9" ht="15" customHeight="1" x14ac:dyDescent="0.3">
      <c r="A375" s="13">
        <f>IF(374&lt;='HELOC Calculator'!$B$16,374,"")</f>
        <v>374</v>
      </c>
      <c r="B375" s="14">
        <f t="shared" si="22"/>
        <v>57558</v>
      </c>
      <c r="C375" s="13" t="str">
        <f>IF($A375="","",IF($A375&lt;='HELOC Calculator'!$B$14,"Draw","Repayment"))</f>
        <v>Repayment</v>
      </c>
      <c r="D375" s="15">
        <f t="shared" si="23"/>
        <v>14442.6769283988</v>
      </c>
      <c r="E375" s="15">
        <f>IF($A375="","",IF($C375="Draw",'HELOC Calculator'!$B$7,0))</f>
        <v>0</v>
      </c>
      <c r="F375" s="15">
        <f>IF($A375="","",$D375*('HELOC Calculator'!$B$8/12))</f>
        <v>102.30229490949151</v>
      </c>
      <c r="G375" s="15">
        <f>IF($A375="","",IF($C375="Draw",$F375,'HELOC Calculator'!$B$18))</f>
        <v>362.35218755795904</v>
      </c>
      <c r="H375" s="15">
        <f t="shared" si="20"/>
        <v>260.04989264846756</v>
      </c>
      <c r="I375" s="15">
        <f t="shared" si="21"/>
        <v>14182.627035750333</v>
      </c>
    </row>
    <row r="376" spans="1:9" ht="15" customHeight="1" x14ac:dyDescent="0.3">
      <c r="A376" s="13">
        <f>IF(375&lt;='HELOC Calculator'!$B$16,375,"")</f>
        <v>375</v>
      </c>
      <c r="B376" s="14">
        <f t="shared" si="22"/>
        <v>57589</v>
      </c>
      <c r="C376" s="13" t="str">
        <f>IF($A376="","",IF($A376&lt;='HELOC Calculator'!$B$14,"Draw","Repayment"))</f>
        <v>Repayment</v>
      </c>
      <c r="D376" s="15">
        <f t="shared" si="23"/>
        <v>14182.627035750333</v>
      </c>
      <c r="E376" s="15">
        <f>IF($A376="","",IF($C376="Draw",'HELOC Calculator'!$B$7,0))</f>
        <v>0</v>
      </c>
      <c r="F376" s="15">
        <f>IF($A376="","",$D376*('HELOC Calculator'!$B$8/12))</f>
        <v>100.46027483656486</v>
      </c>
      <c r="G376" s="15">
        <f>IF($A376="","",IF($C376="Draw",$F376,'HELOC Calculator'!$B$18))</f>
        <v>362.35218755795904</v>
      </c>
      <c r="H376" s="15">
        <f t="shared" si="20"/>
        <v>261.89191272139419</v>
      </c>
      <c r="I376" s="15">
        <f t="shared" si="21"/>
        <v>13920.735123028939</v>
      </c>
    </row>
    <row r="377" spans="1:9" ht="15" customHeight="1" x14ac:dyDescent="0.3">
      <c r="A377" s="13">
        <f>IF(376&lt;='HELOC Calculator'!$B$16,376,"")</f>
        <v>376</v>
      </c>
      <c r="B377" s="14">
        <f t="shared" si="22"/>
        <v>57619</v>
      </c>
      <c r="C377" s="13" t="str">
        <f>IF($A377="","",IF($A377&lt;='HELOC Calculator'!$B$14,"Draw","Repayment"))</f>
        <v>Repayment</v>
      </c>
      <c r="D377" s="15">
        <f t="shared" si="23"/>
        <v>13920.735123028939</v>
      </c>
      <c r="E377" s="15">
        <f>IF($A377="","",IF($C377="Draw",'HELOC Calculator'!$B$7,0))</f>
        <v>0</v>
      </c>
      <c r="F377" s="15">
        <f>IF($A377="","",$D377*('HELOC Calculator'!$B$8/12))</f>
        <v>98.605207121454995</v>
      </c>
      <c r="G377" s="15">
        <f>IF($A377="","",IF($C377="Draw",$F377,'HELOC Calculator'!$B$18))</f>
        <v>362.35218755795904</v>
      </c>
      <c r="H377" s="15">
        <f t="shared" si="20"/>
        <v>263.74698043650403</v>
      </c>
      <c r="I377" s="15">
        <f t="shared" si="21"/>
        <v>13656.988142592434</v>
      </c>
    </row>
    <row r="378" spans="1:9" ht="15" customHeight="1" x14ac:dyDescent="0.3">
      <c r="A378" s="13">
        <f>IF(377&lt;='HELOC Calculator'!$B$16,377,"")</f>
        <v>377</v>
      </c>
      <c r="B378" s="14">
        <f t="shared" si="22"/>
        <v>57650</v>
      </c>
      <c r="C378" s="13" t="str">
        <f>IF($A378="","",IF($A378&lt;='HELOC Calculator'!$B$14,"Draw","Repayment"))</f>
        <v>Repayment</v>
      </c>
      <c r="D378" s="15">
        <f t="shared" si="23"/>
        <v>13656.988142592434</v>
      </c>
      <c r="E378" s="15">
        <f>IF($A378="","",IF($C378="Draw",'HELOC Calculator'!$B$7,0))</f>
        <v>0</v>
      </c>
      <c r="F378" s="15">
        <f>IF($A378="","",$D378*('HELOC Calculator'!$B$8/12))</f>
        <v>96.736999343363081</v>
      </c>
      <c r="G378" s="15">
        <f>IF($A378="","",IF($C378="Draw",$F378,'HELOC Calculator'!$B$18))</f>
        <v>362.35218755795904</v>
      </c>
      <c r="H378" s="15">
        <f t="shared" si="20"/>
        <v>265.61518821459595</v>
      </c>
      <c r="I378" s="15">
        <f t="shared" si="21"/>
        <v>13391.372954377839</v>
      </c>
    </row>
    <row r="379" spans="1:9" ht="15" customHeight="1" x14ac:dyDescent="0.3">
      <c r="A379" s="13">
        <f>IF(378&lt;='HELOC Calculator'!$B$16,378,"")</f>
        <v>378</v>
      </c>
      <c r="B379" s="14">
        <f t="shared" si="22"/>
        <v>57680</v>
      </c>
      <c r="C379" s="13" t="str">
        <f>IF($A379="","",IF($A379&lt;='HELOC Calculator'!$B$14,"Draw","Repayment"))</f>
        <v>Repayment</v>
      </c>
      <c r="D379" s="15">
        <f t="shared" si="23"/>
        <v>13391.372954377839</v>
      </c>
      <c r="E379" s="15">
        <f>IF($A379="","",IF($C379="Draw",'HELOC Calculator'!$B$7,0))</f>
        <v>0</v>
      </c>
      <c r="F379" s="15">
        <f>IF($A379="","",$D379*('HELOC Calculator'!$B$8/12))</f>
        <v>94.855558426843032</v>
      </c>
      <c r="G379" s="15">
        <f>IF($A379="","",IF($C379="Draw",$F379,'HELOC Calculator'!$B$18))</f>
        <v>362.35218755795904</v>
      </c>
      <c r="H379" s="15">
        <f t="shared" si="20"/>
        <v>267.49662913111604</v>
      </c>
      <c r="I379" s="15">
        <f t="shared" si="21"/>
        <v>13123.876325246723</v>
      </c>
    </row>
    <row r="380" spans="1:9" ht="15" customHeight="1" x14ac:dyDescent="0.3">
      <c r="A380" s="13">
        <f>IF(379&lt;='HELOC Calculator'!$B$16,379,"")</f>
        <v>379</v>
      </c>
      <c r="B380" s="14">
        <f t="shared" si="22"/>
        <v>57711</v>
      </c>
      <c r="C380" s="13" t="str">
        <f>IF($A380="","",IF($A380&lt;='HELOC Calculator'!$B$14,"Draw","Repayment"))</f>
        <v>Repayment</v>
      </c>
      <c r="D380" s="15">
        <f t="shared" si="23"/>
        <v>13123.876325246723</v>
      </c>
      <c r="E380" s="15">
        <f>IF($A380="","",IF($C380="Draw",'HELOC Calculator'!$B$7,0))</f>
        <v>0</v>
      </c>
      <c r="F380" s="15">
        <f>IF($A380="","",$D380*('HELOC Calculator'!$B$8/12))</f>
        <v>92.960790637164294</v>
      </c>
      <c r="G380" s="15">
        <f>IF($A380="","",IF($C380="Draw",$F380,'HELOC Calculator'!$B$18))</f>
        <v>362.35218755795904</v>
      </c>
      <c r="H380" s="15">
        <f t="shared" si="20"/>
        <v>269.39139692079476</v>
      </c>
      <c r="I380" s="15">
        <f t="shared" si="21"/>
        <v>12854.484928325928</v>
      </c>
    </row>
    <row r="381" spans="1:9" ht="15" customHeight="1" x14ac:dyDescent="0.3">
      <c r="A381" s="13">
        <f>IF(380&lt;='HELOC Calculator'!$B$16,380,"")</f>
        <v>380</v>
      </c>
      <c r="B381" s="14">
        <f t="shared" si="22"/>
        <v>57742</v>
      </c>
      <c r="C381" s="13" t="str">
        <f>IF($A381="","",IF($A381&lt;='HELOC Calculator'!$B$14,"Draw","Repayment"))</f>
        <v>Repayment</v>
      </c>
      <c r="D381" s="15">
        <f t="shared" si="23"/>
        <v>12854.484928325928</v>
      </c>
      <c r="E381" s="15">
        <f>IF($A381="","",IF($C381="Draw",'HELOC Calculator'!$B$7,0))</f>
        <v>0</v>
      </c>
      <c r="F381" s="15">
        <f>IF($A381="","",$D381*('HELOC Calculator'!$B$8/12))</f>
        <v>91.052601575642001</v>
      </c>
      <c r="G381" s="15">
        <f>IF($A381="","",IF($C381="Draw",$F381,'HELOC Calculator'!$B$18))</f>
        <v>362.35218755795904</v>
      </c>
      <c r="H381" s="15">
        <f t="shared" si="20"/>
        <v>271.29958598231701</v>
      </c>
      <c r="I381" s="15">
        <f t="shared" si="21"/>
        <v>12583.185342343611</v>
      </c>
    </row>
    <row r="382" spans="1:9" ht="15" customHeight="1" x14ac:dyDescent="0.3">
      <c r="A382" s="13">
        <f>IF(381&lt;='HELOC Calculator'!$B$16,381,"")</f>
        <v>381</v>
      </c>
      <c r="B382" s="14">
        <f t="shared" si="22"/>
        <v>57770</v>
      </c>
      <c r="C382" s="13" t="str">
        <f>IF($A382="","",IF($A382&lt;='HELOC Calculator'!$B$14,"Draw","Repayment"))</f>
        <v>Repayment</v>
      </c>
      <c r="D382" s="15">
        <f t="shared" si="23"/>
        <v>12583.185342343611</v>
      </c>
      <c r="E382" s="15">
        <f>IF($A382="","",IF($C382="Draw",'HELOC Calculator'!$B$7,0))</f>
        <v>0</v>
      </c>
      <c r="F382" s="15">
        <f>IF($A382="","",$D382*('HELOC Calculator'!$B$8/12))</f>
        <v>89.130896174933923</v>
      </c>
      <c r="G382" s="15">
        <f>IF($A382="","",IF($C382="Draw",$F382,'HELOC Calculator'!$B$18))</f>
        <v>362.35218755795904</v>
      </c>
      <c r="H382" s="15">
        <f t="shared" si="20"/>
        <v>273.22129138302512</v>
      </c>
      <c r="I382" s="15">
        <f t="shared" si="21"/>
        <v>12309.964050960587</v>
      </c>
    </row>
    <row r="383" spans="1:9" ht="15" customHeight="1" x14ac:dyDescent="0.3">
      <c r="A383" s="13">
        <f>IF(382&lt;='HELOC Calculator'!$B$16,382,"")</f>
        <v>382</v>
      </c>
      <c r="B383" s="14">
        <f t="shared" si="22"/>
        <v>57801</v>
      </c>
      <c r="C383" s="13" t="str">
        <f>IF($A383="","",IF($A383&lt;='HELOC Calculator'!$B$14,"Draw","Repayment"))</f>
        <v>Repayment</v>
      </c>
      <c r="D383" s="15">
        <f t="shared" si="23"/>
        <v>12309.964050960587</v>
      </c>
      <c r="E383" s="15">
        <f>IF($A383="","",IF($C383="Draw",'HELOC Calculator'!$B$7,0))</f>
        <v>0</v>
      </c>
      <c r="F383" s="15">
        <f>IF($A383="","",$D383*('HELOC Calculator'!$B$8/12))</f>
        <v>87.19557869430416</v>
      </c>
      <c r="G383" s="15">
        <f>IF($A383="","",IF($C383="Draw",$F383,'HELOC Calculator'!$B$18))</f>
        <v>362.35218755795904</v>
      </c>
      <c r="H383" s="15">
        <f t="shared" si="20"/>
        <v>275.15660886365487</v>
      </c>
      <c r="I383" s="15">
        <f t="shared" si="21"/>
        <v>12034.807442096931</v>
      </c>
    </row>
    <row r="384" spans="1:9" ht="15" customHeight="1" x14ac:dyDescent="0.3">
      <c r="A384" s="13">
        <f>IF(383&lt;='HELOC Calculator'!$B$16,383,"")</f>
        <v>383</v>
      </c>
      <c r="B384" s="14">
        <f t="shared" si="22"/>
        <v>57831</v>
      </c>
      <c r="C384" s="13" t="str">
        <f>IF($A384="","",IF($A384&lt;='HELOC Calculator'!$B$14,"Draw","Repayment"))</f>
        <v>Repayment</v>
      </c>
      <c r="D384" s="15">
        <f t="shared" si="23"/>
        <v>12034.807442096931</v>
      </c>
      <c r="E384" s="15">
        <f>IF($A384="","",IF($C384="Draw",'HELOC Calculator'!$B$7,0))</f>
        <v>0</v>
      </c>
      <c r="F384" s="15">
        <f>IF($A384="","",$D384*('HELOC Calculator'!$B$8/12))</f>
        <v>85.246552714853266</v>
      </c>
      <c r="G384" s="15">
        <f>IF($A384="","",IF($C384="Draw",$F384,'HELOC Calculator'!$B$18))</f>
        <v>362.35218755795904</v>
      </c>
      <c r="H384" s="15">
        <f t="shared" si="20"/>
        <v>277.1056348431058</v>
      </c>
      <c r="I384" s="15">
        <f t="shared" si="21"/>
        <v>11757.701807253825</v>
      </c>
    </row>
    <row r="385" spans="1:9" ht="15" customHeight="1" x14ac:dyDescent="0.3">
      <c r="A385" s="13">
        <f>IF(384&lt;='HELOC Calculator'!$B$16,384,"")</f>
        <v>384</v>
      </c>
      <c r="B385" s="14">
        <f t="shared" si="22"/>
        <v>57862</v>
      </c>
      <c r="C385" s="13" t="str">
        <f>IF($A385="","",IF($A385&lt;='HELOC Calculator'!$B$14,"Draw","Repayment"))</f>
        <v>Repayment</v>
      </c>
      <c r="D385" s="15">
        <f t="shared" si="23"/>
        <v>11757.701807253825</v>
      </c>
      <c r="E385" s="15">
        <f>IF($A385="","",IF($C385="Draw",'HELOC Calculator'!$B$7,0))</f>
        <v>0</v>
      </c>
      <c r="F385" s="15">
        <f>IF($A385="","",$D385*('HELOC Calculator'!$B$8/12))</f>
        <v>83.283721134714597</v>
      </c>
      <c r="G385" s="15">
        <f>IF($A385="","",IF($C385="Draw",$F385,'HELOC Calculator'!$B$18))</f>
        <v>362.35218755795904</v>
      </c>
      <c r="H385" s="15">
        <f t="shared" si="20"/>
        <v>279.06846642324444</v>
      </c>
      <c r="I385" s="15">
        <f t="shared" si="21"/>
        <v>11478.63334083058</v>
      </c>
    </row>
    <row r="386" spans="1:9" ht="15" customHeight="1" x14ac:dyDescent="0.3">
      <c r="A386" s="13">
        <f>IF(385&lt;='HELOC Calculator'!$B$16,385,"")</f>
        <v>385</v>
      </c>
      <c r="B386" s="14">
        <f t="shared" si="22"/>
        <v>57892</v>
      </c>
      <c r="C386" s="13" t="str">
        <f>IF($A386="","",IF($A386&lt;='HELOC Calculator'!$B$14,"Draw","Repayment"))</f>
        <v>Repayment</v>
      </c>
      <c r="D386" s="15">
        <f t="shared" si="23"/>
        <v>11478.63334083058</v>
      </c>
      <c r="E386" s="15">
        <f>IF($A386="","",IF($C386="Draw",'HELOC Calculator'!$B$7,0))</f>
        <v>0</v>
      </c>
      <c r="F386" s="15">
        <f>IF($A386="","",$D386*('HELOC Calculator'!$B$8/12))</f>
        <v>81.30698616421661</v>
      </c>
      <c r="G386" s="15">
        <f>IF($A386="","",IF($C386="Draw",$F386,'HELOC Calculator'!$B$18))</f>
        <v>362.35218755795904</v>
      </c>
      <c r="H386" s="15">
        <f t="shared" ref="H386:H449" si="24">IF($A386="","",IF($C386="Draw",0,MAX($G386-$F386,0)))</f>
        <v>281.04520139374245</v>
      </c>
      <c r="I386" s="15">
        <f t="shared" ref="I386:I449" si="25">IF($A386="","",MAX($D386+$E386-$H386,0))</f>
        <v>11197.588139436837</v>
      </c>
    </row>
    <row r="387" spans="1:9" ht="15" customHeight="1" x14ac:dyDescent="0.3">
      <c r="A387" s="13">
        <f>IF(386&lt;='HELOC Calculator'!$B$16,386,"")</f>
        <v>386</v>
      </c>
      <c r="B387" s="14">
        <f t="shared" ref="B387:B450" si="26">IF($A387="","",EDATE($B386,1))</f>
        <v>57923</v>
      </c>
      <c r="C387" s="13" t="str">
        <f>IF($A387="","",IF($A387&lt;='HELOC Calculator'!$B$14,"Draw","Repayment"))</f>
        <v>Repayment</v>
      </c>
      <c r="D387" s="15">
        <f t="shared" ref="D387:D450" si="27">IF($A387="","",$I386)</f>
        <v>11197.588139436837</v>
      </c>
      <c r="E387" s="15">
        <f>IF($A387="","",IF($C387="Draw",'HELOC Calculator'!$B$7,0))</f>
        <v>0</v>
      </c>
      <c r="F387" s="15">
        <f>IF($A387="","",$D387*('HELOC Calculator'!$B$8/12))</f>
        <v>79.316249321010929</v>
      </c>
      <c r="G387" s="15">
        <f>IF($A387="","",IF($C387="Draw",$F387,'HELOC Calculator'!$B$18))</f>
        <v>362.35218755795904</v>
      </c>
      <c r="H387" s="15">
        <f t="shared" si="24"/>
        <v>283.03593823694814</v>
      </c>
      <c r="I387" s="15">
        <f t="shared" si="25"/>
        <v>10914.552201199889</v>
      </c>
    </row>
    <row r="388" spans="1:9" ht="15" customHeight="1" x14ac:dyDescent="0.3">
      <c r="A388" s="13">
        <f>IF(387&lt;='HELOC Calculator'!$B$16,387,"")</f>
        <v>387</v>
      </c>
      <c r="B388" s="14">
        <f t="shared" si="26"/>
        <v>57954</v>
      </c>
      <c r="C388" s="13" t="str">
        <f>IF($A388="","",IF($A388&lt;='HELOC Calculator'!$B$14,"Draw","Repayment"))</f>
        <v>Repayment</v>
      </c>
      <c r="D388" s="15">
        <f t="shared" si="27"/>
        <v>10914.552201199889</v>
      </c>
      <c r="E388" s="15">
        <f>IF($A388="","",IF($C388="Draw",'HELOC Calculator'!$B$7,0))</f>
        <v>0</v>
      </c>
      <c r="F388" s="15">
        <f>IF($A388="","",$D388*('HELOC Calculator'!$B$8/12))</f>
        <v>77.311411425165886</v>
      </c>
      <c r="G388" s="15">
        <f>IF($A388="","",IF($C388="Draw",$F388,'HELOC Calculator'!$B$18))</f>
        <v>362.35218755795904</v>
      </c>
      <c r="H388" s="15">
        <f t="shared" si="24"/>
        <v>285.04077613279316</v>
      </c>
      <c r="I388" s="15">
        <f t="shared" si="25"/>
        <v>10629.511425067096</v>
      </c>
    </row>
    <row r="389" spans="1:9" ht="15" customHeight="1" x14ac:dyDescent="0.3">
      <c r="A389" s="13">
        <f>IF(388&lt;='HELOC Calculator'!$B$16,388,"")</f>
        <v>388</v>
      </c>
      <c r="B389" s="14">
        <f t="shared" si="26"/>
        <v>57984</v>
      </c>
      <c r="C389" s="13" t="str">
        <f>IF($A389="","",IF($A389&lt;='HELOC Calculator'!$B$14,"Draw","Repayment"))</f>
        <v>Repayment</v>
      </c>
      <c r="D389" s="15">
        <f t="shared" si="27"/>
        <v>10629.511425067096</v>
      </c>
      <c r="E389" s="15">
        <f>IF($A389="","",IF($C389="Draw",'HELOC Calculator'!$B$7,0))</f>
        <v>0</v>
      </c>
      <c r="F389" s="15">
        <f>IF($A389="","",$D389*('HELOC Calculator'!$B$8/12))</f>
        <v>75.29237259422527</v>
      </c>
      <c r="G389" s="15">
        <f>IF($A389="","",IF($C389="Draw",$F389,'HELOC Calculator'!$B$18))</f>
        <v>362.35218755795904</v>
      </c>
      <c r="H389" s="15">
        <f t="shared" si="24"/>
        <v>287.05981496373374</v>
      </c>
      <c r="I389" s="15">
        <f t="shared" si="25"/>
        <v>10342.451610103362</v>
      </c>
    </row>
    <row r="390" spans="1:9" ht="15" customHeight="1" x14ac:dyDescent="0.3">
      <c r="A390" s="13">
        <f>IF(389&lt;='HELOC Calculator'!$B$16,389,"")</f>
        <v>389</v>
      </c>
      <c r="B390" s="14">
        <f t="shared" si="26"/>
        <v>58015</v>
      </c>
      <c r="C390" s="13" t="str">
        <f>IF($A390="","",IF($A390&lt;='HELOC Calculator'!$B$14,"Draw","Repayment"))</f>
        <v>Repayment</v>
      </c>
      <c r="D390" s="15">
        <f t="shared" si="27"/>
        <v>10342.451610103362</v>
      </c>
      <c r="E390" s="15">
        <f>IF($A390="","",IF($C390="Draw",'HELOC Calculator'!$B$7,0))</f>
        <v>0</v>
      </c>
      <c r="F390" s="15">
        <f>IF($A390="","",$D390*('HELOC Calculator'!$B$8/12))</f>
        <v>73.259032238232152</v>
      </c>
      <c r="G390" s="15">
        <f>IF($A390="","",IF($C390="Draw",$F390,'HELOC Calculator'!$B$18))</f>
        <v>362.35218755795904</v>
      </c>
      <c r="H390" s="15">
        <f t="shared" si="24"/>
        <v>289.09315531972686</v>
      </c>
      <c r="I390" s="15">
        <f t="shared" si="25"/>
        <v>10053.358454783636</v>
      </c>
    </row>
    <row r="391" spans="1:9" ht="15" customHeight="1" x14ac:dyDescent="0.3">
      <c r="A391" s="13">
        <f>IF(390&lt;='HELOC Calculator'!$B$16,390,"")</f>
        <v>390</v>
      </c>
      <c r="B391" s="14">
        <f t="shared" si="26"/>
        <v>58045</v>
      </c>
      <c r="C391" s="13" t="str">
        <f>IF($A391="","",IF($A391&lt;='HELOC Calculator'!$B$14,"Draw","Repayment"))</f>
        <v>Repayment</v>
      </c>
      <c r="D391" s="15">
        <f t="shared" si="27"/>
        <v>10053.358454783636</v>
      </c>
      <c r="E391" s="15">
        <f>IF($A391="","",IF($C391="Draw",'HELOC Calculator'!$B$7,0))</f>
        <v>0</v>
      </c>
      <c r="F391" s="15">
        <f>IF($A391="","",$D391*('HELOC Calculator'!$B$8/12))</f>
        <v>71.211289054717426</v>
      </c>
      <c r="G391" s="15">
        <f>IF($A391="","",IF($C391="Draw",$F391,'HELOC Calculator'!$B$18))</f>
        <v>362.35218755795904</v>
      </c>
      <c r="H391" s="15">
        <f t="shared" si="24"/>
        <v>291.1408985032416</v>
      </c>
      <c r="I391" s="15">
        <f t="shared" si="25"/>
        <v>9762.217556280395</v>
      </c>
    </row>
    <row r="392" spans="1:9" ht="15" customHeight="1" x14ac:dyDescent="0.3">
      <c r="A392" s="13">
        <f>IF(391&lt;='HELOC Calculator'!$B$16,391,"")</f>
        <v>391</v>
      </c>
      <c r="B392" s="14">
        <f t="shared" si="26"/>
        <v>58076</v>
      </c>
      <c r="C392" s="13" t="str">
        <f>IF($A392="","",IF($A392&lt;='HELOC Calculator'!$B$14,"Draw","Repayment"))</f>
        <v>Repayment</v>
      </c>
      <c r="D392" s="15">
        <f t="shared" si="27"/>
        <v>9762.217556280395</v>
      </c>
      <c r="E392" s="15">
        <f>IF($A392="","",IF($C392="Draw",'HELOC Calculator'!$B$7,0))</f>
        <v>0</v>
      </c>
      <c r="F392" s="15">
        <f>IF($A392="","",$D392*('HELOC Calculator'!$B$8/12))</f>
        <v>69.149041023652799</v>
      </c>
      <c r="G392" s="15">
        <f>IF($A392="","",IF($C392="Draw",$F392,'HELOC Calculator'!$B$18))</f>
        <v>362.35218755795904</v>
      </c>
      <c r="H392" s="15">
        <f t="shared" si="24"/>
        <v>293.20314653430626</v>
      </c>
      <c r="I392" s="15">
        <f t="shared" si="25"/>
        <v>9469.0144097460889</v>
      </c>
    </row>
    <row r="393" spans="1:9" ht="15" customHeight="1" x14ac:dyDescent="0.3">
      <c r="A393" s="13">
        <f>IF(392&lt;='HELOC Calculator'!$B$16,392,"")</f>
        <v>392</v>
      </c>
      <c r="B393" s="14">
        <f t="shared" si="26"/>
        <v>58107</v>
      </c>
      <c r="C393" s="13" t="str">
        <f>IF($A393="","",IF($A393&lt;='HELOC Calculator'!$B$14,"Draw","Repayment"))</f>
        <v>Repayment</v>
      </c>
      <c r="D393" s="15">
        <f t="shared" si="27"/>
        <v>9469.0144097460889</v>
      </c>
      <c r="E393" s="15">
        <f>IF($A393="","",IF($C393="Draw",'HELOC Calculator'!$B$7,0))</f>
        <v>0</v>
      </c>
      <c r="F393" s="15">
        <f>IF($A393="","",$D393*('HELOC Calculator'!$B$8/12))</f>
        <v>67.072185402368135</v>
      </c>
      <c r="G393" s="15">
        <f>IF($A393="","",IF($C393="Draw",$F393,'HELOC Calculator'!$B$18))</f>
        <v>362.35218755795904</v>
      </c>
      <c r="H393" s="15">
        <f t="shared" si="24"/>
        <v>295.28000215559092</v>
      </c>
      <c r="I393" s="15">
        <f t="shared" si="25"/>
        <v>9173.7344075904984</v>
      </c>
    </row>
    <row r="394" spans="1:9" ht="15" customHeight="1" x14ac:dyDescent="0.3">
      <c r="A394" s="13">
        <f>IF(393&lt;='HELOC Calculator'!$B$16,393,"")</f>
        <v>393</v>
      </c>
      <c r="B394" s="14">
        <f t="shared" si="26"/>
        <v>58135</v>
      </c>
      <c r="C394" s="13" t="str">
        <f>IF($A394="","",IF($A394&lt;='HELOC Calculator'!$B$14,"Draw","Repayment"))</f>
        <v>Repayment</v>
      </c>
      <c r="D394" s="15">
        <f t="shared" si="27"/>
        <v>9173.7344075904984</v>
      </c>
      <c r="E394" s="15">
        <f>IF($A394="","",IF($C394="Draw",'HELOC Calculator'!$B$7,0))</f>
        <v>0</v>
      </c>
      <c r="F394" s="15">
        <f>IF($A394="","",$D394*('HELOC Calculator'!$B$8/12))</f>
        <v>64.980618720432702</v>
      </c>
      <c r="G394" s="15">
        <f>IF($A394="","",IF($C394="Draw",$F394,'HELOC Calculator'!$B$18))</f>
        <v>362.35218755795904</v>
      </c>
      <c r="H394" s="15">
        <f t="shared" si="24"/>
        <v>297.37156883752635</v>
      </c>
      <c r="I394" s="15">
        <f t="shared" si="25"/>
        <v>8876.3628387529716</v>
      </c>
    </row>
    <row r="395" spans="1:9" ht="15" customHeight="1" x14ac:dyDescent="0.3">
      <c r="A395" s="13">
        <f>IF(394&lt;='HELOC Calculator'!$B$16,394,"")</f>
        <v>394</v>
      </c>
      <c r="B395" s="14">
        <f t="shared" si="26"/>
        <v>58166</v>
      </c>
      <c r="C395" s="13" t="str">
        <f>IF($A395="","",IF($A395&lt;='HELOC Calculator'!$B$14,"Draw","Repayment"))</f>
        <v>Repayment</v>
      </c>
      <c r="D395" s="15">
        <f t="shared" si="27"/>
        <v>8876.3628387529716</v>
      </c>
      <c r="E395" s="15">
        <f>IF($A395="","",IF($C395="Draw",'HELOC Calculator'!$B$7,0))</f>
        <v>0</v>
      </c>
      <c r="F395" s="15">
        <f>IF($A395="","",$D395*('HELOC Calculator'!$B$8/12))</f>
        <v>62.874236774500218</v>
      </c>
      <c r="G395" s="15">
        <f>IF($A395="","",IF($C395="Draw",$F395,'HELOC Calculator'!$B$18))</f>
        <v>362.35218755795904</v>
      </c>
      <c r="H395" s="15">
        <f t="shared" si="24"/>
        <v>299.47795078345882</v>
      </c>
      <c r="I395" s="15">
        <f t="shared" si="25"/>
        <v>8576.8848879695124</v>
      </c>
    </row>
    <row r="396" spans="1:9" ht="15" customHeight="1" x14ac:dyDescent="0.3">
      <c r="A396" s="13">
        <f>IF(395&lt;='HELOC Calculator'!$B$16,395,"")</f>
        <v>395</v>
      </c>
      <c r="B396" s="14">
        <f t="shared" si="26"/>
        <v>58196</v>
      </c>
      <c r="C396" s="13" t="str">
        <f>IF($A396="","",IF($A396&lt;='HELOC Calculator'!$B$14,"Draw","Repayment"))</f>
        <v>Repayment</v>
      </c>
      <c r="D396" s="15">
        <f t="shared" si="27"/>
        <v>8576.8848879695124</v>
      </c>
      <c r="E396" s="15">
        <f>IF($A396="","",IF($C396="Draw",'HELOC Calculator'!$B$7,0))</f>
        <v>0</v>
      </c>
      <c r="F396" s="15">
        <f>IF($A396="","",$D396*('HELOC Calculator'!$B$8/12))</f>
        <v>60.752934623117383</v>
      </c>
      <c r="G396" s="15">
        <f>IF($A396="","",IF($C396="Draw",$F396,'HELOC Calculator'!$B$18))</f>
        <v>362.35218755795904</v>
      </c>
      <c r="H396" s="15">
        <f t="shared" si="24"/>
        <v>301.59925293484167</v>
      </c>
      <c r="I396" s="15">
        <f t="shared" si="25"/>
        <v>8275.2856350346701</v>
      </c>
    </row>
    <row r="397" spans="1:9" ht="15" customHeight="1" x14ac:dyDescent="0.3">
      <c r="A397" s="13">
        <f>IF(396&lt;='HELOC Calculator'!$B$16,396,"")</f>
        <v>396</v>
      </c>
      <c r="B397" s="14">
        <f t="shared" si="26"/>
        <v>58227</v>
      </c>
      <c r="C397" s="13" t="str">
        <f>IF($A397="","",IF($A397&lt;='HELOC Calculator'!$B$14,"Draw","Repayment"))</f>
        <v>Repayment</v>
      </c>
      <c r="D397" s="15">
        <f t="shared" si="27"/>
        <v>8275.2856350346701</v>
      </c>
      <c r="E397" s="15">
        <f>IF($A397="","",IF($C397="Draw",'HELOC Calculator'!$B$7,0))</f>
        <v>0</v>
      </c>
      <c r="F397" s="15">
        <f>IF($A397="","",$D397*('HELOC Calculator'!$B$8/12))</f>
        <v>58.616606581495581</v>
      </c>
      <c r="G397" s="15">
        <f>IF($A397="","",IF($C397="Draw",$F397,'HELOC Calculator'!$B$18))</f>
        <v>362.35218755795904</v>
      </c>
      <c r="H397" s="15">
        <f t="shared" si="24"/>
        <v>303.73558097646344</v>
      </c>
      <c r="I397" s="15">
        <f t="shared" si="25"/>
        <v>7971.550054058207</v>
      </c>
    </row>
    <row r="398" spans="1:9" ht="15" customHeight="1" x14ac:dyDescent="0.3">
      <c r="A398" s="13">
        <f>IF(397&lt;='HELOC Calculator'!$B$16,397,"")</f>
        <v>397</v>
      </c>
      <c r="B398" s="14">
        <f t="shared" si="26"/>
        <v>58257</v>
      </c>
      <c r="C398" s="13" t="str">
        <f>IF($A398="","",IF($A398&lt;='HELOC Calculator'!$B$14,"Draw","Repayment"))</f>
        <v>Repayment</v>
      </c>
      <c r="D398" s="15">
        <f t="shared" si="27"/>
        <v>7971.550054058207</v>
      </c>
      <c r="E398" s="15">
        <f>IF($A398="","",IF($C398="Draw",'HELOC Calculator'!$B$7,0))</f>
        <v>0</v>
      </c>
      <c r="F398" s="15">
        <f>IF($A398="","",$D398*('HELOC Calculator'!$B$8/12))</f>
        <v>56.465146216245635</v>
      </c>
      <c r="G398" s="15">
        <f>IF($A398="","",IF($C398="Draw",$F398,'HELOC Calculator'!$B$18))</f>
        <v>362.35218755795904</v>
      </c>
      <c r="H398" s="15">
        <f t="shared" si="24"/>
        <v>305.88704134171343</v>
      </c>
      <c r="I398" s="15">
        <f t="shared" si="25"/>
        <v>7665.6630127164935</v>
      </c>
    </row>
    <row r="399" spans="1:9" ht="15" customHeight="1" x14ac:dyDescent="0.3">
      <c r="A399" s="13">
        <f>IF(398&lt;='HELOC Calculator'!$B$16,398,"")</f>
        <v>398</v>
      </c>
      <c r="B399" s="14">
        <f t="shared" si="26"/>
        <v>58288</v>
      </c>
      <c r="C399" s="13" t="str">
        <f>IF($A399="","",IF($A399&lt;='HELOC Calculator'!$B$14,"Draw","Repayment"))</f>
        <v>Repayment</v>
      </c>
      <c r="D399" s="15">
        <f t="shared" si="27"/>
        <v>7665.6630127164935</v>
      </c>
      <c r="E399" s="15">
        <f>IF($A399="","",IF($C399="Draw",'HELOC Calculator'!$B$7,0))</f>
        <v>0</v>
      </c>
      <c r="F399" s="15">
        <f>IF($A399="","",$D399*('HELOC Calculator'!$B$8/12))</f>
        <v>54.298446340075166</v>
      </c>
      <c r="G399" s="15">
        <f>IF($A399="","",IF($C399="Draw",$F399,'HELOC Calculator'!$B$18))</f>
        <v>362.35218755795904</v>
      </c>
      <c r="H399" s="15">
        <f t="shared" si="24"/>
        <v>308.0537412178839</v>
      </c>
      <c r="I399" s="15">
        <f t="shared" si="25"/>
        <v>7357.6092714986098</v>
      </c>
    </row>
    <row r="400" spans="1:9" ht="15" customHeight="1" x14ac:dyDescent="0.3">
      <c r="A400" s="13">
        <f>IF(399&lt;='HELOC Calculator'!$B$16,399,"")</f>
        <v>399</v>
      </c>
      <c r="B400" s="14">
        <f t="shared" si="26"/>
        <v>58319</v>
      </c>
      <c r="C400" s="13" t="str">
        <f>IF($A400="","",IF($A400&lt;='HELOC Calculator'!$B$14,"Draw","Repayment"))</f>
        <v>Repayment</v>
      </c>
      <c r="D400" s="15">
        <f t="shared" si="27"/>
        <v>7357.6092714986098</v>
      </c>
      <c r="E400" s="15">
        <f>IF($A400="","",IF($C400="Draw",'HELOC Calculator'!$B$7,0))</f>
        <v>0</v>
      </c>
      <c r="F400" s="15">
        <f>IF($A400="","",$D400*('HELOC Calculator'!$B$8/12))</f>
        <v>52.116399006448489</v>
      </c>
      <c r="G400" s="15">
        <f>IF($A400="","",IF($C400="Draw",$F400,'HELOC Calculator'!$B$18))</f>
        <v>362.35218755795904</v>
      </c>
      <c r="H400" s="15">
        <f t="shared" si="24"/>
        <v>310.23578855151055</v>
      </c>
      <c r="I400" s="15">
        <f t="shared" si="25"/>
        <v>7047.3734829470995</v>
      </c>
    </row>
    <row r="401" spans="1:9" ht="15" customHeight="1" x14ac:dyDescent="0.3">
      <c r="A401" s="13">
        <f>IF(400&lt;='HELOC Calculator'!$B$16,400,"")</f>
        <v>400</v>
      </c>
      <c r="B401" s="14">
        <f t="shared" si="26"/>
        <v>58349</v>
      </c>
      <c r="C401" s="13" t="str">
        <f>IF($A401="","",IF($A401&lt;='HELOC Calculator'!$B$14,"Draw","Repayment"))</f>
        <v>Repayment</v>
      </c>
      <c r="D401" s="15">
        <f t="shared" si="27"/>
        <v>7047.3734829470995</v>
      </c>
      <c r="E401" s="15">
        <f>IF($A401="","",IF($C401="Draw",'HELOC Calculator'!$B$7,0))</f>
        <v>0</v>
      </c>
      <c r="F401" s="15">
        <f>IF($A401="","",$D401*('HELOC Calculator'!$B$8/12))</f>
        <v>49.918895504208628</v>
      </c>
      <c r="G401" s="15">
        <f>IF($A401="","",IF($C401="Draw",$F401,'HELOC Calculator'!$B$18))</f>
        <v>362.35218755795904</v>
      </c>
      <c r="H401" s="15">
        <f t="shared" si="24"/>
        <v>312.43329205375039</v>
      </c>
      <c r="I401" s="15">
        <f t="shared" si="25"/>
        <v>6734.9401908933487</v>
      </c>
    </row>
    <row r="402" spans="1:9" ht="15" customHeight="1" x14ac:dyDescent="0.3">
      <c r="A402" s="13">
        <f>IF(401&lt;='HELOC Calculator'!$B$16,401,"")</f>
        <v>401</v>
      </c>
      <c r="B402" s="14">
        <f t="shared" si="26"/>
        <v>58380</v>
      </c>
      <c r="C402" s="13" t="str">
        <f>IF($A402="","",IF($A402&lt;='HELOC Calculator'!$B$14,"Draw","Repayment"))</f>
        <v>Repayment</v>
      </c>
      <c r="D402" s="15">
        <f t="shared" si="27"/>
        <v>6734.9401908933487</v>
      </c>
      <c r="E402" s="15">
        <f>IF($A402="","",IF($C402="Draw",'HELOC Calculator'!$B$7,0))</f>
        <v>0</v>
      </c>
      <c r="F402" s="15">
        <f>IF($A402="","",$D402*('HELOC Calculator'!$B$8/12))</f>
        <v>47.705826352161225</v>
      </c>
      <c r="G402" s="15">
        <f>IF($A402="","",IF($C402="Draw",$F402,'HELOC Calculator'!$B$18))</f>
        <v>362.35218755795904</v>
      </c>
      <c r="H402" s="15">
        <f t="shared" si="24"/>
        <v>314.6463612057978</v>
      </c>
      <c r="I402" s="15">
        <f t="shared" si="25"/>
        <v>6420.2938296875509</v>
      </c>
    </row>
    <row r="403" spans="1:9" ht="15" customHeight="1" x14ac:dyDescent="0.3">
      <c r="A403" s="13">
        <f>IF(402&lt;='HELOC Calculator'!$B$16,402,"")</f>
        <v>402</v>
      </c>
      <c r="B403" s="14">
        <f t="shared" si="26"/>
        <v>58410</v>
      </c>
      <c r="C403" s="13" t="str">
        <f>IF($A403="","",IF($A403&lt;='HELOC Calculator'!$B$14,"Draw","Repayment"))</f>
        <v>Repayment</v>
      </c>
      <c r="D403" s="15">
        <f t="shared" si="27"/>
        <v>6420.2938296875509</v>
      </c>
      <c r="E403" s="15">
        <f>IF($A403="","",IF($C403="Draw",'HELOC Calculator'!$B$7,0))</f>
        <v>0</v>
      </c>
      <c r="F403" s="15">
        <f>IF($A403="","",$D403*('HELOC Calculator'!$B$8/12))</f>
        <v>45.477081293620152</v>
      </c>
      <c r="G403" s="15">
        <f>IF($A403="","",IF($C403="Draw",$F403,'HELOC Calculator'!$B$18))</f>
        <v>362.35218755795904</v>
      </c>
      <c r="H403" s="15">
        <f t="shared" si="24"/>
        <v>316.87510626433891</v>
      </c>
      <c r="I403" s="15">
        <f t="shared" si="25"/>
        <v>6103.4187234232122</v>
      </c>
    </row>
    <row r="404" spans="1:9" ht="15" customHeight="1" x14ac:dyDescent="0.3">
      <c r="A404" s="13">
        <f>IF(403&lt;='HELOC Calculator'!$B$16,403,"")</f>
        <v>403</v>
      </c>
      <c r="B404" s="14">
        <f t="shared" si="26"/>
        <v>58441</v>
      </c>
      <c r="C404" s="13" t="str">
        <f>IF($A404="","",IF($A404&lt;='HELOC Calculator'!$B$14,"Draw","Repayment"))</f>
        <v>Repayment</v>
      </c>
      <c r="D404" s="15">
        <f t="shared" si="27"/>
        <v>6103.4187234232122</v>
      </c>
      <c r="E404" s="15">
        <f>IF($A404="","",IF($C404="Draw",'HELOC Calculator'!$B$7,0))</f>
        <v>0</v>
      </c>
      <c r="F404" s="15">
        <f>IF($A404="","",$D404*('HELOC Calculator'!$B$8/12))</f>
        <v>43.23254929091442</v>
      </c>
      <c r="G404" s="15">
        <f>IF($A404="","",IF($C404="Draw",$F404,'HELOC Calculator'!$B$18))</f>
        <v>362.35218755795904</v>
      </c>
      <c r="H404" s="15">
        <f t="shared" si="24"/>
        <v>319.11963826704459</v>
      </c>
      <c r="I404" s="15">
        <f t="shared" si="25"/>
        <v>5784.2990851561681</v>
      </c>
    </row>
    <row r="405" spans="1:9" ht="15" customHeight="1" x14ac:dyDescent="0.3">
      <c r="A405" s="13">
        <f>IF(404&lt;='HELOC Calculator'!$B$16,404,"")</f>
        <v>404</v>
      </c>
      <c r="B405" s="14">
        <f t="shared" si="26"/>
        <v>58472</v>
      </c>
      <c r="C405" s="13" t="str">
        <f>IF($A405="","",IF($A405&lt;='HELOC Calculator'!$B$14,"Draw","Repayment"))</f>
        <v>Repayment</v>
      </c>
      <c r="D405" s="15">
        <f t="shared" si="27"/>
        <v>5784.2990851561681</v>
      </c>
      <c r="E405" s="15">
        <f>IF($A405="","",IF($C405="Draw",'HELOC Calculator'!$B$7,0))</f>
        <v>0</v>
      </c>
      <c r="F405" s="15">
        <f>IF($A405="","",$D405*('HELOC Calculator'!$B$8/12))</f>
        <v>40.972118519856195</v>
      </c>
      <c r="G405" s="15">
        <f>IF($A405="","",IF($C405="Draw",$F405,'HELOC Calculator'!$B$18))</f>
        <v>362.35218755795904</v>
      </c>
      <c r="H405" s="15">
        <f t="shared" si="24"/>
        <v>321.38006903810287</v>
      </c>
      <c r="I405" s="15">
        <f t="shared" si="25"/>
        <v>5462.919016118065</v>
      </c>
    </row>
    <row r="406" spans="1:9" ht="15" customHeight="1" x14ac:dyDescent="0.3">
      <c r="A406" s="13">
        <f>IF(405&lt;='HELOC Calculator'!$B$16,405,"")</f>
        <v>405</v>
      </c>
      <c r="B406" s="14">
        <f t="shared" si="26"/>
        <v>58501</v>
      </c>
      <c r="C406" s="13" t="str">
        <f>IF($A406="","",IF($A406&lt;='HELOC Calculator'!$B$14,"Draw","Repayment"))</f>
        <v>Repayment</v>
      </c>
      <c r="D406" s="15">
        <f t="shared" si="27"/>
        <v>5462.919016118065</v>
      </c>
      <c r="E406" s="15">
        <f>IF($A406="","",IF($C406="Draw",'HELOC Calculator'!$B$7,0))</f>
        <v>0</v>
      </c>
      <c r="F406" s="15">
        <f>IF($A406="","",$D406*('HELOC Calculator'!$B$8/12))</f>
        <v>38.695676364169628</v>
      </c>
      <c r="G406" s="15">
        <f>IF($A406="","",IF($C406="Draw",$F406,'HELOC Calculator'!$B$18))</f>
        <v>362.35218755795904</v>
      </c>
      <c r="H406" s="15">
        <f t="shared" si="24"/>
        <v>323.65651119378941</v>
      </c>
      <c r="I406" s="15">
        <f t="shared" si="25"/>
        <v>5139.2625049242752</v>
      </c>
    </row>
    <row r="407" spans="1:9" ht="15" customHeight="1" x14ac:dyDescent="0.3">
      <c r="A407" s="13">
        <f>IF(406&lt;='HELOC Calculator'!$B$16,406,"")</f>
        <v>406</v>
      </c>
      <c r="B407" s="14">
        <f t="shared" si="26"/>
        <v>58532</v>
      </c>
      <c r="C407" s="13" t="str">
        <f>IF($A407="","",IF($A407&lt;='HELOC Calculator'!$B$14,"Draw","Repayment"))</f>
        <v>Repayment</v>
      </c>
      <c r="D407" s="15">
        <f t="shared" si="27"/>
        <v>5139.2625049242752</v>
      </c>
      <c r="E407" s="15">
        <f>IF($A407="","",IF($C407="Draw",'HELOC Calculator'!$B$7,0))</f>
        <v>0</v>
      </c>
      <c r="F407" s="15">
        <f>IF($A407="","",$D407*('HELOC Calculator'!$B$8/12))</f>
        <v>36.403109409880287</v>
      </c>
      <c r="G407" s="15">
        <f>IF($A407="","",IF($C407="Draw",$F407,'HELOC Calculator'!$B$18))</f>
        <v>362.35218755795904</v>
      </c>
      <c r="H407" s="15">
        <f t="shared" si="24"/>
        <v>325.94907814807874</v>
      </c>
      <c r="I407" s="15">
        <f t="shared" si="25"/>
        <v>4813.3134267761961</v>
      </c>
    </row>
    <row r="408" spans="1:9" ht="15" customHeight="1" x14ac:dyDescent="0.3">
      <c r="A408" s="13">
        <f>IF(407&lt;='HELOC Calculator'!$B$16,407,"")</f>
        <v>407</v>
      </c>
      <c r="B408" s="14">
        <f t="shared" si="26"/>
        <v>58562</v>
      </c>
      <c r="C408" s="13" t="str">
        <f>IF($A408="","",IF($A408&lt;='HELOC Calculator'!$B$14,"Draw","Repayment"))</f>
        <v>Repayment</v>
      </c>
      <c r="D408" s="15">
        <f t="shared" si="27"/>
        <v>4813.3134267761961</v>
      </c>
      <c r="E408" s="15">
        <f>IF($A408="","",IF($C408="Draw",'HELOC Calculator'!$B$7,0))</f>
        <v>0</v>
      </c>
      <c r="F408" s="15">
        <f>IF($A408="","",$D408*('HELOC Calculator'!$B$8/12))</f>
        <v>34.094303439664728</v>
      </c>
      <c r="G408" s="15">
        <f>IF($A408="","",IF($C408="Draw",$F408,'HELOC Calculator'!$B$18))</f>
        <v>362.35218755795904</v>
      </c>
      <c r="H408" s="15">
        <f t="shared" si="24"/>
        <v>328.25788411829433</v>
      </c>
      <c r="I408" s="15">
        <f t="shared" si="25"/>
        <v>4485.0555426579022</v>
      </c>
    </row>
    <row r="409" spans="1:9" ht="15" customHeight="1" x14ac:dyDescent="0.3">
      <c r="A409" s="13">
        <f>IF(408&lt;='HELOC Calculator'!$B$16,408,"")</f>
        <v>408</v>
      </c>
      <c r="B409" s="14">
        <f t="shared" si="26"/>
        <v>58593</v>
      </c>
      <c r="C409" s="13" t="str">
        <f>IF($A409="","",IF($A409&lt;='HELOC Calculator'!$B$14,"Draw","Repayment"))</f>
        <v>Repayment</v>
      </c>
      <c r="D409" s="15">
        <f t="shared" si="27"/>
        <v>4485.0555426579022</v>
      </c>
      <c r="E409" s="15">
        <f>IF($A409="","",IF($C409="Draw",'HELOC Calculator'!$B$7,0))</f>
        <v>0</v>
      </c>
      <c r="F409" s="15">
        <f>IF($A409="","",$D409*('HELOC Calculator'!$B$8/12))</f>
        <v>31.769143427160142</v>
      </c>
      <c r="G409" s="15">
        <f>IF($A409="","",IF($C409="Draw",$F409,'HELOC Calculator'!$B$18))</f>
        <v>362.35218755795904</v>
      </c>
      <c r="H409" s="15">
        <f t="shared" si="24"/>
        <v>330.5830441307989</v>
      </c>
      <c r="I409" s="15">
        <f t="shared" si="25"/>
        <v>4154.4724985271032</v>
      </c>
    </row>
    <row r="410" spans="1:9" ht="15" customHeight="1" x14ac:dyDescent="0.3">
      <c r="A410" s="13">
        <f>IF(409&lt;='HELOC Calculator'!$B$16,409,"")</f>
        <v>409</v>
      </c>
      <c r="B410" s="14">
        <f t="shared" si="26"/>
        <v>58623</v>
      </c>
      <c r="C410" s="13" t="str">
        <f>IF($A410="","",IF($A410&lt;='HELOC Calculator'!$B$14,"Draw","Repayment"))</f>
        <v>Repayment</v>
      </c>
      <c r="D410" s="15">
        <f t="shared" si="27"/>
        <v>4154.4724985271032</v>
      </c>
      <c r="E410" s="15">
        <f>IF($A410="","",IF($C410="Draw",'HELOC Calculator'!$B$7,0))</f>
        <v>0</v>
      </c>
      <c r="F410" s="15">
        <f>IF($A410="","",$D410*('HELOC Calculator'!$B$8/12))</f>
        <v>29.42751353123365</v>
      </c>
      <c r="G410" s="15">
        <f>IF($A410="","",IF($C410="Draw",$F410,'HELOC Calculator'!$B$18))</f>
        <v>362.35218755795904</v>
      </c>
      <c r="H410" s="15">
        <f t="shared" si="24"/>
        <v>332.92467402672537</v>
      </c>
      <c r="I410" s="15">
        <f t="shared" si="25"/>
        <v>3821.5478245003778</v>
      </c>
    </row>
    <row r="411" spans="1:9" ht="15" customHeight="1" x14ac:dyDescent="0.3">
      <c r="A411" s="13">
        <f>IF(410&lt;='HELOC Calculator'!$B$16,410,"")</f>
        <v>410</v>
      </c>
      <c r="B411" s="14">
        <f t="shared" si="26"/>
        <v>58654</v>
      </c>
      <c r="C411" s="13" t="str">
        <f>IF($A411="","",IF($A411&lt;='HELOC Calculator'!$B$14,"Draw","Repayment"))</f>
        <v>Repayment</v>
      </c>
      <c r="D411" s="15">
        <f t="shared" si="27"/>
        <v>3821.5478245003778</v>
      </c>
      <c r="E411" s="15">
        <f>IF($A411="","",IF($C411="Draw",'HELOC Calculator'!$B$7,0))</f>
        <v>0</v>
      </c>
      <c r="F411" s="15">
        <f>IF($A411="","",$D411*('HELOC Calculator'!$B$8/12))</f>
        <v>27.069297090211013</v>
      </c>
      <c r="G411" s="15">
        <f>IF($A411="","",IF($C411="Draw",$F411,'HELOC Calculator'!$B$18))</f>
        <v>362.35218755795904</v>
      </c>
      <c r="H411" s="15">
        <f t="shared" si="24"/>
        <v>335.28289046774802</v>
      </c>
      <c r="I411" s="15">
        <f t="shared" si="25"/>
        <v>3486.2649340326298</v>
      </c>
    </row>
    <row r="412" spans="1:9" ht="15" customHeight="1" x14ac:dyDescent="0.3">
      <c r="A412" s="13">
        <f>IF(411&lt;='HELOC Calculator'!$B$16,411,"")</f>
        <v>411</v>
      </c>
      <c r="B412" s="14">
        <f t="shared" si="26"/>
        <v>58685</v>
      </c>
      <c r="C412" s="13" t="str">
        <f>IF($A412="","",IF($A412&lt;='HELOC Calculator'!$B$14,"Draw","Repayment"))</f>
        <v>Repayment</v>
      </c>
      <c r="D412" s="15">
        <f t="shared" si="27"/>
        <v>3486.2649340326298</v>
      </c>
      <c r="E412" s="15">
        <f>IF($A412="","",IF($C412="Draw",'HELOC Calculator'!$B$7,0))</f>
        <v>0</v>
      </c>
      <c r="F412" s="15">
        <f>IF($A412="","",$D412*('HELOC Calculator'!$B$8/12))</f>
        <v>24.694376616064464</v>
      </c>
      <c r="G412" s="15">
        <f>IF($A412="","",IF($C412="Draw",$F412,'HELOC Calculator'!$B$18))</f>
        <v>362.35218755795904</v>
      </c>
      <c r="H412" s="15">
        <f t="shared" si="24"/>
        <v>337.65781094189458</v>
      </c>
      <c r="I412" s="15">
        <f t="shared" si="25"/>
        <v>3148.6071230907351</v>
      </c>
    </row>
    <row r="413" spans="1:9" ht="15" customHeight="1" x14ac:dyDescent="0.3">
      <c r="A413" s="13">
        <f>IF(412&lt;='HELOC Calculator'!$B$16,412,"")</f>
        <v>412</v>
      </c>
      <c r="B413" s="14">
        <f t="shared" si="26"/>
        <v>58715</v>
      </c>
      <c r="C413" s="13" t="str">
        <f>IF($A413="","",IF($A413&lt;='HELOC Calculator'!$B$14,"Draw","Repayment"))</f>
        <v>Repayment</v>
      </c>
      <c r="D413" s="15">
        <f t="shared" si="27"/>
        <v>3148.6071230907351</v>
      </c>
      <c r="E413" s="15">
        <f>IF($A413="","",IF($C413="Draw",'HELOC Calculator'!$B$7,0))</f>
        <v>0</v>
      </c>
      <c r="F413" s="15">
        <f>IF($A413="","",$D413*('HELOC Calculator'!$B$8/12))</f>
        <v>22.302633788559376</v>
      </c>
      <c r="G413" s="15">
        <f>IF($A413="","",IF($C413="Draw",$F413,'HELOC Calculator'!$B$18))</f>
        <v>362.35218755795904</v>
      </c>
      <c r="H413" s="15">
        <f t="shared" si="24"/>
        <v>340.04955376939967</v>
      </c>
      <c r="I413" s="15">
        <f t="shared" si="25"/>
        <v>2808.5575693213354</v>
      </c>
    </row>
    <row r="414" spans="1:9" ht="15" customHeight="1" x14ac:dyDescent="0.3">
      <c r="A414" s="13">
        <f>IF(413&lt;='HELOC Calculator'!$B$16,413,"")</f>
        <v>413</v>
      </c>
      <c r="B414" s="14">
        <f t="shared" si="26"/>
        <v>58746</v>
      </c>
      <c r="C414" s="13" t="str">
        <f>IF($A414="","",IF($A414&lt;='HELOC Calculator'!$B$14,"Draw","Repayment"))</f>
        <v>Repayment</v>
      </c>
      <c r="D414" s="15">
        <f t="shared" si="27"/>
        <v>2808.5575693213354</v>
      </c>
      <c r="E414" s="15">
        <f>IF($A414="","",IF($C414="Draw",'HELOC Calculator'!$B$7,0))</f>
        <v>0</v>
      </c>
      <c r="F414" s="15">
        <f>IF($A414="","",$D414*('HELOC Calculator'!$B$8/12))</f>
        <v>19.893949449359461</v>
      </c>
      <c r="G414" s="15">
        <f>IF($A414="","",IF($C414="Draw",$F414,'HELOC Calculator'!$B$18))</f>
        <v>362.35218755795904</v>
      </c>
      <c r="H414" s="15">
        <f t="shared" si="24"/>
        <v>342.45823810859957</v>
      </c>
      <c r="I414" s="15">
        <f t="shared" si="25"/>
        <v>2466.0993312127357</v>
      </c>
    </row>
    <row r="415" spans="1:9" ht="15" customHeight="1" x14ac:dyDescent="0.3">
      <c r="A415" s="13">
        <f>IF(414&lt;='HELOC Calculator'!$B$16,414,"")</f>
        <v>414</v>
      </c>
      <c r="B415" s="14">
        <f t="shared" si="26"/>
        <v>58776</v>
      </c>
      <c r="C415" s="13" t="str">
        <f>IF($A415="","",IF($A415&lt;='HELOC Calculator'!$B$14,"Draw","Repayment"))</f>
        <v>Repayment</v>
      </c>
      <c r="D415" s="15">
        <f t="shared" si="27"/>
        <v>2466.0993312127357</v>
      </c>
      <c r="E415" s="15">
        <f>IF($A415="","",IF($C415="Draw",'HELOC Calculator'!$B$7,0))</f>
        <v>0</v>
      </c>
      <c r="F415" s="15">
        <f>IF($A415="","",$D415*('HELOC Calculator'!$B$8/12))</f>
        <v>17.468203596090213</v>
      </c>
      <c r="G415" s="15">
        <f>IF($A415="","",IF($C415="Draw",$F415,'HELOC Calculator'!$B$18))</f>
        <v>362.35218755795904</v>
      </c>
      <c r="H415" s="15">
        <f t="shared" si="24"/>
        <v>344.88398396186881</v>
      </c>
      <c r="I415" s="15">
        <f t="shared" si="25"/>
        <v>2121.2153472508671</v>
      </c>
    </row>
    <row r="416" spans="1:9" ht="15" customHeight="1" x14ac:dyDescent="0.3">
      <c r="A416" s="13">
        <f>IF(415&lt;='HELOC Calculator'!$B$16,415,"")</f>
        <v>415</v>
      </c>
      <c r="B416" s="14">
        <f t="shared" si="26"/>
        <v>58807</v>
      </c>
      <c r="C416" s="13" t="str">
        <f>IF($A416="","",IF($A416&lt;='HELOC Calculator'!$B$14,"Draw","Repayment"))</f>
        <v>Repayment</v>
      </c>
      <c r="D416" s="15">
        <f t="shared" si="27"/>
        <v>2121.2153472508671</v>
      </c>
      <c r="E416" s="15">
        <f>IF($A416="","",IF($C416="Draw",'HELOC Calculator'!$B$7,0))</f>
        <v>0</v>
      </c>
      <c r="F416" s="15">
        <f>IF($A416="","",$D416*('HELOC Calculator'!$B$8/12))</f>
        <v>15.025275376360311</v>
      </c>
      <c r="G416" s="15">
        <f>IF($A416="","",IF($C416="Draw",$F416,'HELOC Calculator'!$B$18))</f>
        <v>362.35218755795904</v>
      </c>
      <c r="H416" s="15">
        <f t="shared" si="24"/>
        <v>347.32691218159874</v>
      </c>
      <c r="I416" s="15">
        <f t="shared" si="25"/>
        <v>1773.8884350692683</v>
      </c>
    </row>
    <row r="417" spans="1:9" ht="15" customHeight="1" x14ac:dyDescent="0.3">
      <c r="A417" s="13">
        <f>IF(416&lt;='HELOC Calculator'!$B$16,416,"")</f>
        <v>416</v>
      </c>
      <c r="B417" s="14">
        <f t="shared" si="26"/>
        <v>58838</v>
      </c>
      <c r="C417" s="13" t="str">
        <f>IF($A417="","",IF($A417&lt;='HELOC Calculator'!$B$14,"Draw","Repayment"))</f>
        <v>Repayment</v>
      </c>
      <c r="D417" s="15">
        <f t="shared" si="27"/>
        <v>1773.8884350692683</v>
      </c>
      <c r="E417" s="15">
        <f>IF($A417="","",IF($C417="Draw",'HELOC Calculator'!$B$7,0))</f>
        <v>0</v>
      </c>
      <c r="F417" s="15">
        <f>IF($A417="","",$D417*('HELOC Calculator'!$B$8/12))</f>
        <v>12.565043081740651</v>
      </c>
      <c r="G417" s="15">
        <f>IF($A417="","",IF($C417="Draw",$F417,'HELOC Calculator'!$B$18))</f>
        <v>362.35218755795904</v>
      </c>
      <c r="H417" s="15">
        <f t="shared" si="24"/>
        <v>349.78714447621837</v>
      </c>
      <c r="I417" s="15">
        <f t="shared" si="25"/>
        <v>1424.10129059305</v>
      </c>
    </row>
    <row r="418" spans="1:9" ht="15" customHeight="1" x14ac:dyDescent="0.3">
      <c r="A418" s="13">
        <f>IF(417&lt;='HELOC Calculator'!$B$16,417,"")</f>
        <v>417</v>
      </c>
      <c r="B418" s="14">
        <f t="shared" si="26"/>
        <v>58866</v>
      </c>
      <c r="C418" s="13" t="str">
        <f>IF($A418="","",IF($A418&lt;='HELOC Calculator'!$B$14,"Draw","Repayment"))</f>
        <v>Repayment</v>
      </c>
      <c r="D418" s="15">
        <f t="shared" si="27"/>
        <v>1424.10129059305</v>
      </c>
      <c r="E418" s="15">
        <f>IF($A418="","",IF($C418="Draw",'HELOC Calculator'!$B$7,0))</f>
        <v>0</v>
      </c>
      <c r="F418" s="15">
        <f>IF($A418="","",$D418*('HELOC Calculator'!$B$8/12))</f>
        <v>10.08738414170077</v>
      </c>
      <c r="G418" s="15">
        <f>IF($A418="","",IF($C418="Draw",$F418,'HELOC Calculator'!$B$18))</f>
        <v>362.35218755795904</v>
      </c>
      <c r="H418" s="15">
        <f t="shared" si="24"/>
        <v>352.26480341625825</v>
      </c>
      <c r="I418" s="15">
        <f t="shared" si="25"/>
        <v>1071.8364871767917</v>
      </c>
    </row>
    <row r="419" spans="1:9" ht="15" customHeight="1" x14ac:dyDescent="0.3">
      <c r="A419" s="13">
        <f>IF(418&lt;='HELOC Calculator'!$B$16,418,"")</f>
        <v>418</v>
      </c>
      <c r="B419" s="14">
        <f t="shared" si="26"/>
        <v>58897</v>
      </c>
      <c r="C419" s="13" t="str">
        <f>IF($A419="","",IF($A419&lt;='HELOC Calculator'!$B$14,"Draw","Repayment"))</f>
        <v>Repayment</v>
      </c>
      <c r="D419" s="15">
        <f t="shared" si="27"/>
        <v>1071.8364871767917</v>
      </c>
      <c r="E419" s="15">
        <f>IF($A419="","",IF($C419="Draw",'HELOC Calculator'!$B$7,0))</f>
        <v>0</v>
      </c>
      <c r="F419" s="15">
        <f>IF($A419="","",$D419*('HELOC Calculator'!$B$8/12))</f>
        <v>7.5921751175022747</v>
      </c>
      <c r="G419" s="15">
        <f>IF($A419="","",IF($C419="Draw",$F419,'HELOC Calculator'!$B$18))</f>
        <v>362.35218755795904</v>
      </c>
      <c r="H419" s="15">
        <f t="shared" si="24"/>
        <v>354.76001244045676</v>
      </c>
      <c r="I419" s="15">
        <f t="shared" si="25"/>
        <v>717.07647473633494</v>
      </c>
    </row>
    <row r="420" spans="1:9" ht="15" customHeight="1" x14ac:dyDescent="0.3">
      <c r="A420" s="13">
        <f>IF(419&lt;='HELOC Calculator'!$B$16,419,"")</f>
        <v>419</v>
      </c>
      <c r="B420" s="14">
        <f t="shared" si="26"/>
        <v>58927</v>
      </c>
      <c r="C420" s="13" t="str">
        <f>IF($A420="","",IF($A420&lt;='HELOC Calculator'!$B$14,"Draw","Repayment"))</f>
        <v>Repayment</v>
      </c>
      <c r="D420" s="15">
        <f t="shared" si="27"/>
        <v>717.07647473633494</v>
      </c>
      <c r="E420" s="15">
        <f>IF($A420="","",IF($C420="Draw",'HELOC Calculator'!$B$7,0))</f>
        <v>0</v>
      </c>
      <c r="F420" s="15">
        <f>IF($A420="","",$D420*('HELOC Calculator'!$B$8/12))</f>
        <v>5.0792916960490393</v>
      </c>
      <c r="G420" s="15">
        <f>IF($A420="","",IF($C420="Draw",$F420,'HELOC Calculator'!$B$18))</f>
        <v>362.35218755795904</v>
      </c>
      <c r="H420" s="15">
        <f t="shared" si="24"/>
        <v>357.27289586191</v>
      </c>
      <c r="I420" s="15">
        <f t="shared" si="25"/>
        <v>359.80357887442494</v>
      </c>
    </row>
    <row r="421" spans="1:9" ht="15" customHeight="1" x14ac:dyDescent="0.3">
      <c r="A421" s="13">
        <f>IF(420&lt;='HELOC Calculator'!$B$16,420,"")</f>
        <v>420</v>
      </c>
      <c r="B421" s="14">
        <f t="shared" si="26"/>
        <v>58958</v>
      </c>
      <c r="C421" s="13" t="str">
        <f>IF($A421="","",IF($A421&lt;='HELOC Calculator'!$B$14,"Draw","Repayment"))</f>
        <v>Repayment</v>
      </c>
      <c r="D421" s="15">
        <f t="shared" si="27"/>
        <v>359.80357887442494</v>
      </c>
      <c r="E421" s="15">
        <f>IF($A421="","",IF($C421="Draw",'HELOC Calculator'!$B$7,0))</f>
        <v>0</v>
      </c>
      <c r="F421" s="15">
        <f>IF($A421="","",$D421*('HELOC Calculator'!$B$8/12))</f>
        <v>2.5486086836938435</v>
      </c>
      <c r="G421" s="15">
        <f>IF($A421="","",IF($C421="Draw",$F421,'HELOC Calculator'!$B$18))</f>
        <v>362.35218755795904</v>
      </c>
      <c r="H421" s="15">
        <f t="shared" si="24"/>
        <v>359.80357887426521</v>
      </c>
      <c r="I421" s="15">
        <f t="shared" si="25"/>
        <v>1.5973000699887052E-10</v>
      </c>
    </row>
    <row r="422" spans="1:9" ht="15" customHeight="1" x14ac:dyDescent="0.3">
      <c r="A422" s="13" t="str">
        <f>IF(421&lt;='HELOC Calculator'!$B$16,421,"")</f>
        <v/>
      </c>
      <c r="B422" s="14" t="str">
        <f t="shared" si="26"/>
        <v/>
      </c>
      <c r="C422" s="13" t="str">
        <f>IF($A422="","",IF($A422&lt;='HELOC Calculator'!$B$14,"Draw","Repayment"))</f>
        <v/>
      </c>
      <c r="D422" s="15" t="str">
        <f t="shared" si="27"/>
        <v/>
      </c>
      <c r="E422" s="15" t="str">
        <f>IF($A422="","",IF($C422="Draw",'HELOC Calculator'!$B$7,0))</f>
        <v/>
      </c>
      <c r="F422" s="15" t="str">
        <f>IF($A422="","",$D422*('HELOC Calculator'!$B$8/12))</f>
        <v/>
      </c>
      <c r="G422" s="15" t="str">
        <f>IF($A422="","",IF($C422="Draw",$F422,'HELOC Calculator'!$B$18))</f>
        <v/>
      </c>
      <c r="H422" s="15" t="str">
        <f t="shared" si="24"/>
        <v/>
      </c>
      <c r="I422" s="15" t="str">
        <f t="shared" si="25"/>
        <v/>
      </c>
    </row>
    <row r="423" spans="1:9" ht="15" customHeight="1" x14ac:dyDescent="0.3">
      <c r="A423" s="13" t="str">
        <f>IF(422&lt;='HELOC Calculator'!$B$16,422,"")</f>
        <v/>
      </c>
      <c r="B423" s="14" t="str">
        <f t="shared" si="26"/>
        <v/>
      </c>
      <c r="C423" s="13" t="str">
        <f>IF($A423="","",IF($A423&lt;='HELOC Calculator'!$B$14,"Draw","Repayment"))</f>
        <v/>
      </c>
      <c r="D423" s="15" t="str">
        <f t="shared" si="27"/>
        <v/>
      </c>
      <c r="E423" s="15" t="str">
        <f>IF($A423="","",IF($C423="Draw",'HELOC Calculator'!$B$7,0))</f>
        <v/>
      </c>
      <c r="F423" s="15" t="str">
        <f>IF($A423="","",$D423*('HELOC Calculator'!$B$8/12))</f>
        <v/>
      </c>
      <c r="G423" s="15" t="str">
        <f>IF($A423="","",IF($C423="Draw",$F423,'HELOC Calculator'!$B$18))</f>
        <v/>
      </c>
      <c r="H423" s="15" t="str">
        <f t="shared" si="24"/>
        <v/>
      </c>
      <c r="I423" s="15" t="str">
        <f t="shared" si="25"/>
        <v/>
      </c>
    </row>
    <row r="424" spans="1:9" ht="15" customHeight="1" x14ac:dyDescent="0.3">
      <c r="A424" s="13" t="str">
        <f>IF(423&lt;='HELOC Calculator'!$B$16,423,"")</f>
        <v/>
      </c>
      <c r="B424" s="14" t="str">
        <f t="shared" si="26"/>
        <v/>
      </c>
      <c r="C424" s="13" t="str">
        <f>IF($A424="","",IF($A424&lt;='HELOC Calculator'!$B$14,"Draw","Repayment"))</f>
        <v/>
      </c>
      <c r="D424" s="15" t="str">
        <f t="shared" si="27"/>
        <v/>
      </c>
      <c r="E424" s="15" t="str">
        <f>IF($A424="","",IF($C424="Draw",'HELOC Calculator'!$B$7,0))</f>
        <v/>
      </c>
      <c r="F424" s="15" t="str">
        <f>IF($A424="","",$D424*('HELOC Calculator'!$B$8/12))</f>
        <v/>
      </c>
      <c r="G424" s="15" t="str">
        <f>IF($A424="","",IF($C424="Draw",$F424,'HELOC Calculator'!$B$18))</f>
        <v/>
      </c>
      <c r="H424" s="15" t="str">
        <f t="shared" si="24"/>
        <v/>
      </c>
      <c r="I424" s="15" t="str">
        <f t="shared" si="25"/>
        <v/>
      </c>
    </row>
    <row r="425" spans="1:9" ht="15" customHeight="1" x14ac:dyDescent="0.3">
      <c r="A425" s="13" t="str">
        <f>IF(424&lt;='HELOC Calculator'!$B$16,424,"")</f>
        <v/>
      </c>
      <c r="B425" s="14" t="str">
        <f t="shared" si="26"/>
        <v/>
      </c>
      <c r="C425" s="13" t="str">
        <f>IF($A425="","",IF($A425&lt;='HELOC Calculator'!$B$14,"Draw","Repayment"))</f>
        <v/>
      </c>
      <c r="D425" s="15" t="str">
        <f t="shared" si="27"/>
        <v/>
      </c>
      <c r="E425" s="15" t="str">
        <f>IF($A425="","",IF($C425="Draw",'HELOC Calculator'!$B$7,0))</f>
        <v/>
      </c>
      <c r="F425" s="15" t="str">
        <f>IF($A425="","",$D425*('HELOC Calculator'!$B$8/12))</f>
        <v/>
      </c>
      <c r="G425" s="15" t="str">
        <f>IF($A425="","",IF($C425="Draw",$F425,'HELOC Calculator'!$B$18))</f>
        <v/>
      </c>
      <c r="H425" s="15" t="str">
        <f t="shared" si="24"/>
        <v/>
      </c>
      <c r="I425" s="15" t="str">
        <f t="shared" si="25"/>
        <v/>
      </c>
    </row>
    <row r="426" spans="1:9" ht="15" customHeight="1" x14ac:dyDescent="0.3">
      <c r="A426" s="13" t="str">
        <f>IF(425&lt;='HELOC Calculator'!$B$16,425,"")</f>
        <v/>
      </c>
      <c r="B426" s="14" t="str">
        <f t="shared" si="26"/>
        <v/>
      </c>
      <c r="C426" s="13" t="str">
        <f>IF($A426="","",IF($A426&lt;='HELOC Calculator'!$B$14,"Draw","Repayment"))</f>
        <v/>
      </c>
      <c r="D426" s="15" t="str">
        <f t="shared" si="27"/>
        <v/>
      </c>
      <c r="E426" s="15" t="str">
        <f>IF($A426="","",IF($C426="Draw",'HELOC Calculator'!$B$7,0))</f>
        <v/>
      </c>
      <c r="F426" s="15" t="str">
        <f>IF($A426="","",$D426*('HELOC Calculator'!$B$8/12))</f>
        <v/>
      </c>
      <c r="G426" s="15" t="str">
        <f>IF($A426="","",IF($C426="Draw",$F426,'HELOC Calculator'!$B$18))</f>
        <v/>
      </c>
      <c r="H426" s="15" t="str">
        <f t="shared" si="24"/>
        <v/>
      </c>
      <c r="I426" s="15" t="str">
        <f t="shared" si="25"/>
        <v/>
      </c>
    </row>
    <row r="427" spans="1:9" ht="15" customHeight="1" x14ac:dyDescent="0.3">
      <c r="A427" s="13" t="str">
        <f>IF(426&lt;='HELOC Calculator'!$B$16,426,"")</f>
        <v/>
      </c>
      <c r="B427" s="14" t="str">
        <f t="shared" si="26"/>
        <v/>
      </c>
      <c r="C427" s="13" t="str">
        <f>IF($A427="","",IF($A427&lt;='HELOC Calculator'!$B$14,"Draw","Repayment"))</f>
        <v/>
      </c>
      <c r="D427" s="15" t="str">
        <f t="shared" si="27"/>
        <v/>
      </c>
      <c r="E427" s="15" t="str">
        <f>IF($A427="","",IF($C427="Draw",'HELOC Calculator'!$B$7,0))</f>
        <v/>
      </c>
      <c r="F427" s="15" t="str">
        <f>IF($A427="","",$D427*('HELOC Calculator'!$B$8/12))</f>
        <v/>
      </c>
      <c r="G427" s="15" t="str">
        <f>IF($A427="","",IF($C427="Draw",$F427,'HELOC Calculator'!$B$18))</f>
        <v/>
      </c>
      <c r="H427" s="15" t="str">
        <f t="shared" si="24"/>
        <v/>
      </c>
      <c r="I427" s="15" t="str">
        <f t="shared" si="25"/>
        <v/>
      </c>
    </row>
    <row r="428" spans="1:9" ht="15" customHeight="1" x14ac:dyDescent="0.3">
      <c r="A428" s="13" t="str">
        <f>IF(427&lt;='HELOC Calculator'!$B$16,427,"")</f>
        <v/>
      </c>
      <c r="B428" s="14" t="str">
        <f t="shared" si="26"/>
        <v/>
      </c>
      <c r="C428" s="13" t="str">
        <f>IF($A428="","",IF($A428&lt;='HELOC Calculator'!$B$14,"Draw","Repayment"))</f>
        <v/>
      </c>
      <c r="D428" s="15" t="str">
        <f t="shared" si="27"/>
        <v/>
      </c>
      <c r="E428" s="15" t="str">
        <f>IF($A428="","",IF($C428="Draw",'HELOC Calculator'!$B$7,0))</f>
        <v/>
      </c>
      <c r="F428" s="15" t="str">
        <f>IF($A428="","",$D428*('HELOC Calculator'!$B$8/12))</f>
        <v/>
      </c>
      <c r="G428" s="15" t="str">
        <f>IF($A428="","",IF($C428="Draw",$F428,'HELOC Calculator'!$B$18))</f>
        <v/>
      </c>
      <c r="H428" s="15" t="str">
        <f t="shared" si="24"/>
        <v/>
      </c>
      <c r="I428" s="15" t="str">
        <f t="shared" si="25"/>
        <v/>
      </c>
    </row>
    <row r="429" spans="1:9" ht="15" customHeight="1" x14ac:dyDescent="0.3">
      <c r="A429" s="13" t="str">
        <f>IF(428&lt;='HELOC Calculator'!$B$16,428,"")</f>
        <v/>
      </c>
      <c r="B429" s="14" t="str">
        <f t="shared" si="26"/>
        <v/>
      </c>
      <c r="C429" s="13" t="str">
        <f>IF($A429="","",IF($A429&lt;='HELOC Calculator'!$B$14,"Draw","Repayment"))</f>
        <v/>
      </c>
      <c r="D429" s="15" t="str">
        <f t="shared" si="27"/>
        <v/>
      </c>
      <c r="E429" s="15" t="str">
        <f>IF($A429="","",IF($C429="Draw",'HELOC Calculator'!$B$7,0))</f>
        <v/>
      </c>
      <c r="F429" s="15" t="str">
        <f>IF($A429="","",$D429*('HELOC Calculator'!$B$8/12))</f>
        <v/>
      </c>
      <c r="G429" s="15" t="str">
        <f>IF($A429="","",IF($C429="Draw",$F429,'HELOC Calculator'!$B$18))</f>
        <v/>
      </c>
      <c r="H429" s="15" t="str">
        <f t="shared" si="24"/>
        <v/>
      </c>
      <c r="I429" s="15" t="str">
        <f t="shared" si="25"/>
        <v/>
      </c>
    </row>
    <row r="430" spans="1:9" ht="15" customHeight="1" x14ac:dyDescent="0.3">
      <c r="A430" s="13" t="str">
        <f>IF(429&lt;='HELOC Calculator'!$B$16,429,"")</f>
        <v/>
      </c>
      <c r="B430" s="14" t="str">
        <f t="shared" si="26"/>
        <v/>
      </c>
      <c r="C430" s="13" t="str">
        <f>IF($A430="","",IF($A430&lt;='HELOC Calculator'!$B$14,"Draw","Repayment"))</f>
        <v/>
      </c>
      <c r="D430" s="15" t="str">
        <f t="shared" si="27"/>
        <v/>
      </c>
      <c r="E430" s="15" t="str">
        <f>IF($A430="","",IF($C430="Draw",'HELOC Calculator'!$B$7,0))</f>
        <v/>
      </c>
      <c r="F430" s="15" t="str">
        <f>IF($A430="","",$D430*('HELOC Calculator'!$B$8/12))</f>
        <v/>
      </c>
      <c r="G430" s="15" t="str">
        <f>IF($A430="","",IF($C430="Draw",$F430,'HELOC Calculator'!$B$18))</f>
        <v/>
      </c>
      <c r="H430" s="15" t="str">
        <f t="shared" si="24"/>
        <v/>
      </c>
      <c r="I430" s="15" t="str">
        <f t="shared" si="25"/>
        <v/>
      </c>
    </row>
    <row r="431" spans="1:9" ht="15" customHeight="1" x14ac:dyDescent="0.3">
      <c r="A431" s="13" t="str">
        <f>IF(430&lt;='HELOC Calculator'!$B$16,430,"")</f>
        <v/>
      </c>
      <c r="B431" s="14" t="str">
        <f t="shared" si="26"/>
        <v/>
      </c>
      <c r="C431" s="13" t="str">
        <f>IF($A431="","",IF($A431&lt;='HELOC Calculator'!$B$14,"Draw","Repayment"))</f>
        <v/>
      </c>
      <c r="D431" s="15" t="str">
        <f t="shared" si="27"/>
        <v/>
      </c>
      <c r="E431" s="15" t="str">
        <f>IF($A431="","",IF($C431="Draw",'HELOC Calculator'!$B$7,0))</f>
        <v/>
      </c>
      <c r="F431" s="15" t="str">
        <f>IF($A431="","",$D431*('HELOC Calculator'!$B$8/12))</f>
        <v/>
      </c>
      <c r="G431" s="15" t="str">
        <f>IF($A431="","",IF($C431="Draw",$F431,'HELOC Calculator'!$B$18))</f>
        <v/>
      </c>
      <c r="H431" s="15" t="str">
        <f t="shared" si="24"/>
        <v/>
      </c>
      <c r="I431" s="15" t="str">
        <f t="shared" si="25"/>
        <v/>
      </c>
    </row>
    <row r="432" spans="1:9" ht="15" customHeight="1" x14ac:dyDescent="0.3">
      <c r="A432" s="13" t="str">
        <f>IF(431&lt;='HELOC Calculator'!$B$16,431,"")</f>
        <v/>
      </c>
      <c r="B432" s="14" t="str">
        <f t="shared" si="26"/>
        <v/>
      </c>
      <c r="C432" s="13" t="str">
        <f>IF($A432="","",IF($A432&lt;='HELOC Calculator'!$B$14,"Draw","Repayment"))</f>
        <v/>
      </c>
      <c r="D432" s="15" t="str">
        <f t="shared" si="27"/>
        <v/>
      </c>
      <c r="E432" s="15" t="str">
        <f>IF($A432="","",IF($C432="Draw",'HELOC Calculator'!$B$7,0))</f>
        <v/>
      </c>
      <c r="F432" s="15" t="str">
        <f>IF($A432="","",$D432*('HELOC Calculator'!$B$8/12))</f>
        <v/>
      </c>
      <c r="G432" s="15" t="str">
        <f>IF($A432="","",IF($C432="Draw",$F432,'HELOC Calculator'!$B$18))</f>
        <v/>
      </c>
      <c r="H432" s="15" t="str">
        <f t="shared" si="24"/>
        <v/>
      </c>
      <c r="I432" s="15" t="str">
        <f t="shared" si="25"/>
        <v/>
      </c>
    </row>
    <row r="433" spans="1:9" ht="15" customHeight="1" x14ac:dyDescent="0.3">
      <c r="A433" s="13" t="str">
        <f>IF(432&lt;='HELOC Calculator'!$B$16,432,"")</f>
        <v/>
      </c>
      <c r="B433" s="14" t="str">
        <f t="shared" si="26"/>
        <v/>
      </c>
      <c r="C433" s="13" t="str">
        <f>IF($A433="","",IF($A433&lt;='HELOC Calculator'!$B$14,"Draw","Repayment"))</f>
        <v/>
      </c>
      <c r="D433" s="15" t="str">
        <f t="shared" si="27"/>
        <v/>
      </c>
      <c r="E433" s="15" t="str">
        <f>IF($A433="","",IF($C433="Draw",'HELOC Calculator'!$B$7,0))</f>
        <v/>
      </c>
      <c r="F433" s="15" t="str">
        <f>IF($A433="","",$D433*('HELOC Calculator'!$B$8/12))</f>
        <v/>
      </c>
      <c r="G433" s="15" t="str">
        <f>IF($A433="","",IF($C433="Draw",$F433,'HELOC Calculator'!$B$18))</f>
        <v/>
      </c>
      <c r="H433" s="15" t="str">
        <f t="shared" si="24"/>
        <v/>
      </c>
      <c r="I433" s="15" t="str">
        <f t="shared" si="25"/>
        <v/>
      </c>
    </row>
    <row r="434" spans="1:9" ht="15" customHeight="1" x14ac:dyDescent="0.3">
      <c r="A434" s="13" t="str">
        <f>IF(433&lt;='HELOC Calculator'!$B$16,433,"")</f>
        <v/>
      </c>
      <c r="B434" s="14" t="str">
        <f t="shared" si="26"/>
        <v/>
      </c>
      <c r="C434" s="13" t="str">
        <f>IF($A434="","",IF($A434&lt;='HELOC Calculator'!$B$14,"Draw","Repayment"))</f>
        <v/>
      </c>
      <c r="D434" s="15" t="str">
        <f t="shared" si="27"/>
        <v/>
      </c>
      <c r="E434" s="15" t="str">
        <f>IF($A434="","",IF($C434="Draw",'HELOC Calculator'!$B$7,0))</f>
        <v/>
      </c>
      <c r="F434" s="15" t="str">
        <f>IF($A434="","",$D434*('HELOC Calculator'!$B$8/12))</f>
        <v/>
      </c>
      <c r="G434" s="15" t="str">
        <f>IF($A434="","",IF($C434="Draw",$F434,'HELOC Calculator'!$B$18))</f>
        <v/>
      </c>
      <c r="H434" s="15" t="str">
        <f t="shared" si="24"/>
        <v/>
      </c>
      <c r="I434" s="15" t="str">
        <f t="shared" si="25"/>
        <v/>
      </c>
    </row>
    <row r="435" spans="1:9" ht="15" customHeight="1" x14ac:dyDescent="0.3">
      <c r="A435" s="13" t="str">
        <f>IF(434&lt;='HELOC Calculator'!$B$16,434,"")</f>
        <v/>
      </c>
      <c r="B435" s="14" t="str">
        <f t="shared" si="26"/>
        <v/>
      </c>
      <c r="C435" s="13" t="str">
        <f>IF($A435="","",IF($A435&lt;='HELOC Calculator'!$B$14,"Draw","Repayment"))</f>
        <v/>
      </c>
      <c r="D435" s="15" t="str">
        <f t="shared" si="27"/>
        <v/>
      </c>
      <c r="E435" s="15" t="str">
        <f>IF($A435="","",IF($C435="Draw",'HELOC Calculator'!$B$7,0))</f>
        <v/>
      </c>
      <c r="F435" s="15" t="str">
        <f>IF($A435="","",$D435*('HELOC Calculator'!$B$8/12))</f>
        <v/>
      </c>
      <c r="G435" s="15" t="str">
        <f>IF($A435="","",IF($C435="Draw",$F435,'HELOC Calculator'!$B$18))</f>
        <v/>
      </c>
      <c r="H435" s="15" t="str">
        <f t="shared" si="24"/>
        <v/>
      </c>
      <c r="I435" s="15" t="str">
        <f t="shared" si="25"/>
        <v/>
      </c>
    </row>
    <row r="436" spans="1:9" ht="15" customHeight="1" x14ac:dyDescent="0.3">
      <c r="A436" s="13" t="str">
        <f>IF(435&lt;='HELOC Calculator'!$B$16,435,"")</f>
        <v/>
      </c>
      <c r="B436" s="14" t="str">
        <f t="shared" si="26"/>
        <v/>
      </c>
      <c r="C436" s="13" t="str">
        <f>IF($A436="","",IF($A436&lt;='HELOC Calculator'!$B$14,"Draw","Repayment"))</f>
        <v/>
      </c>
      <c r="D436" s="15" t="str">
        <f t="shared" si="27"/>
        <v/>
      </c>
      <c r="E436" s="15" t="str">
        <f>IF($A436="","",IF($C436="Draw",'HELOC Calculator'!$B$7,0))</f>
        <v/>
      </c>
      <c r="F436" s="15" t="str">
        <f>IF($A436="","",$D436*('HELOC Calculator'!$B$8/12))</f>
        <v/>
      </c>
      <c r="G436" s="15" t="str">
        <f>IF($A436="","",IF($C436="Draw",$F436,'HELOC Calculator'!$B$18))</f>
        <v/>
      </c>
      <c r="H436" s="15" t="str">
        <f t="shared" si="24"/>
        <v/>
      </c>
      <c r="I436" s="15" t="str">
        <f t="shared" si="25"/>
        <v/>
      </c>
    </row>
    <row r="437" spans="1:9" ht="15" customHeight="1" x14ac:dyDescent="0.3">
      <c r="A437" s="13" t="str">
        <f>IF(436&lt;='HELOC Calculator'!$B$16,436,"")</f>
        <v/>
      </c>
      <c r="B437" s="14" t="str">
        <f t="shared" si="26"/>
        <v/>
      </c>
      <c r="C437" s="13" t="str">
        <f>IF($A437="","",IF($A437&lt;='HELOC Calculator'!$B$14,"Draw","Repayment"))</f>
        <v/>
      </c>
      <c r="D437" s="15" t="str">
        <f t="shared" si="27"/>
        <v/>
      </c>
      <c r="E437" s="15" t="str">
        <f>IF($A437="","",IF($C437="Draw",'HELOC Calculator'!$B$7,0))</f>
        <v/>
      </c>
      <c r="F437" s="15" t="str">
        <f>IF($A437="","",$D437*('HELOC Calculator'!$B$8/12))</f>
        <v/>
      </c>
      <c r="G437" s="15" t="str">
        <f>IF($A437="","",IF($C437="Draw",$F437,'HELOC Calculator'!$B$18))</f>
        <v/>
      </c>
      <c r="H437" s="15" t="str">
        <f t="shared" si="24"/>
        <v/>
      </c>
      <c r="I437" s="15" t="str">
        <f t="shared" si="25"/>
        <v/>
      </c>
    </row>
    <row r="438" spans="1:9" ht="15" customHeight="1" x14ac:dyDescent="0.3">
      <c r="A438" s="13" t="str">
        <f>IF(437&lt;='HELOC Calculator'!$B$16,437,"")</f>
        <v/>
      </c>
      <c r="B438" s="14" t="str">
        <f t="shared" si="26"/>
        <v/>
      </c>
      <c r="C438" s="13" t="str">
        <f>IF($A438="","",IF($A438&lt;='HELOC Calculator'!$B$14,"Draw","Repayment"))</f>
        <v/>
      </c>
      <c r="D438" s="15" t="str">
        <f t="shared" si="27"/>
        <v/>
      </c>
      <c r="E438" s="15" t="str">
        <f>IF($A438="","",IF($C438="Draw",'HELOC Calculator'!$B$7,0))</f>
        <v/>
      </c>
      <c r="F438" s="15" t="str">
        <f>IF($A438="","",$D438*('HELOC Calculator'!$B$8/12))</f>
        <v/>
      </c>
      <c r="G438" s="15" t="str">
        <f>IF($A438="","",IF($C438="Draw",$F438,'HELOC Calculator'!$B$18))</f>
        <v/>
      </c>
      <c r="H438" s="15" t="str">
        <f t="shared" si="24"/>
        <v/>
      </c>
      <c r="I438" s="15" t="str">
        <f t="shared" si="25"/>
        <v/>
      </c>
    </row>
    <row r="439" spans="1:9" ht="15" customHeight="1" x14ac:dyDescent="0.3">
      <c r="A439" s="13" t="str">
        <f>IF(438&lt;='HELOC Calculator'!$B$16,438,"")</f>
        <v/>
      </c>
      <c r="B439" s="14" t="str">
        <f t="shared" si="26"/>
        <v/>
      </c>
      <c r="C439" s="13" t="str">
        <f>IF($A439="","",IF($A439&lt;='HELOC Calculator'!$B$14,"Draw","Repayment"))</f>
        <v/>
      </c>
      <c r="D439" s="15" t="str">
        <f t="shared" si="27"/>
        <v/>
      </c>
      <c r="E439" s="15" t="str">
        <f>IF($A439="","",IF($C439="Draw",'HELOC Calculator'!$B$7,0))</f>
        <v/>
      </c>
      <c r="F439" s="15" t="str">
        <f>IF($A439="","",$D439*('HELOC Calculator'!$B$8/12))</f>
        <v/>
      </c>
      <c r="G439" s="15" t="str">
        <f>IF($A439="","",IF($C439="Draw",$F439,'HELOC Calculator'!$B$18))</f>
        <v/>
      </c>
      <c r="H439" s="15" t="str">
        <f t="shared" si="24"/>
        <v/>
      </c>
      <c r="I439" s="15" t="str">
        <f t="shared" si="25"/>
        <v/>
      </c>
    </row>
    <row r="440" spans="1:9" ht="15" customHeight="1" x14ac:dyDescent="0.3">
      <c r="A440" s="13" t="str">
        <f>IF(439&lt;='HELOC Calculator'!$B$16,439,"")</f>
        <v/>
      </c>
      <c r="B440" s="14" t="str">
        <f t="shared" si="26"/>
        <v/>
      </c>
      <c r="C440" s="13" t="str">
        <f>IF($A440="","",IF($A440&lt;='HELOC Calculator'!$B$14,"Draw","Repayment"))</f>
        <v/>
      </c>
      <c r="D440" s="15" t="str">
        <f t="shared" si="27"/>
        <v/>
      </c>
      <c r="E440" s="15" t="str">
        <f>IF($A440="","",IF($C440="Draw",'HELOC Calculator'!$B$7,0))</f>
        <v/>
      </c>
      <c r="F440" s="15" t="str">
        <f>IF($A440="","",$D440*('HELOC Calculator'!$B$8/12))</f>
        <v/>
      </c>
      <c r="G440" s="15" t="str">
        <f>IF($A440="","",IF($C440="Draw",$F440,'HELOC Calculator'!$B$18))</f>
        <v/>
      </c>
      <c r="H440" s="15" t="str">
        <f t="shared" si="24"/>
        <v/>
      </c>
      <c r="I440" s="15" t="str">
        <f t="shared" si="25"/>
        <v/>
      </c>
    </row>
    <row r="441" spans="1:9" ht="15" customHeight="1" x14ac:dyDescent="0.3">
      <c r="A441" s="13" t="str">
        <f>IF(440&lt;='HELOC Calculator'!$B$16,440,"")</f>
        <v/>
      </c>
      <c r="B441" s="14" t="str">
        <f t="shared" si="26"/>
        <v/>
      </c>
      <c r="C441" s="13" t="str">
        <f>IF($A441="","",IF($A441&lt;='HELOC Calculator'!$B$14,"Draw","Repayment"))</f>
        <v/>
      </c>
      <c r="D441" s="15" t="str">
        <f t="shared" si="27"/>
        <v/>
      </c>
      <c r="E441" s="15" t="str">
        <f>IF($A441="","",IF($C441="Draw",'HELOC Calculator'!$B$7,0))</f>
        <v/>
      </c>
      <c r="F441" s="15" t="str">
        <f>IF($A441="","",$D441*('HELOC Calculator'!$B$8/12))</f>
        <v/>
      </c>
      <c r="G441" s="15" t="str">
        <f>IF($A441="","",IF($C441="Draw",$F441,'HELOC Calculator'!$B$18))</f>
        <v/>
      </c>
      <c r="H441" s="15" t="str">
        <f t="shared" si="24"/>
        <v/>
      </c>
      <c r="I441" s="15" t="str">
        <f t="shared" si="25"/>
        <v/>
      </c>
    </row>
    <row r="442" spans="1:9" ht="15" customHeight="1" x14ac:dyDescent="0.3">
      <c r="A442" s="13" t="str">
        <f>IF(441&lt;='HELOC Calculator'!$B$16,441,"")</f>
        <v/>
      </c>
      <c r="B442" s="14" t="str">
        <f t="shared" si="26"/>
        <v/>
      </c>
      <c r="C442" s="13" t="str">
        <f>IF($A442="","",IF($A442&lt;='HELOC Calculator'!$B$14,"Draw","Repayment"))</f>
        <v/>
      </c>
      <c r="D442" s="15" t="str">
        <f t="shared" si="27"/>
        <v/>
      </c>
      <c r="E442" s="15" t="str">
        <f>IF($A442="","",IF($C442="Draw",'HELOC Calculator'!$B$7,0))</f>
        <v/>
      </c>
      <c r="F442" s="15" t="str">
        <f>IF($A442="","",$D442*('HELOC Calculator'!$B$8/12))</f>
        <v/>
      </c>
      <c r="G442" s="15" t="str">
        <f>IF($A442="","",IF($C442="Draw",$F442,'HELOC Calculator'!$B$18))</f>
        <v/>
      </c>
      <c r="H442" s="15" t="str">
        <f t="shared" si="24"/>
        <v/>
      </c>
      <c r="I442" s="15" t="str">
        <f t="shared" si="25"/>
        <v/>
      </c>
    </row>
    <row r="443" spans="1:9" ht="15" customHeight="1" x14ac:dyDescent="0.3">
      <c r="A443" s="13" t="str">
        <f>IF(442&lt;='HELOC Calculator'!$B$16,442,"")</f>
        <v/>
      </c>
      <c r="B443" s="14" t="str">
        <f t="shared" si="26"/>
        <v/>
      </c>
      <c r="C443" s="13" t="str">
        <f>IF($A443="","",IF($A443&lt;='HELOC Calculator'!$B$14,"Draw","Repayment"))</f>
        <v/>
      </c>
      <c r="D443" s="15" t="str">
        <f t="shared" si="27"/>
        <v/>
      </c>
      <c r="E443" s="15" t="str">
        <f>IF($A443="","",IF($C443="Draw",'HELOC Calculator'!$B$7,0))</f>
        <v/>
      </c>
      <c r="F443" s="15" t="str">
        <f>IF($A443="","",$D443*('HELOC Calculator'!$B$8/12))</f>
        <v/>
      </c>
      <c r="G443" s="15" t="str">
        <f>IF($A443="","",IF($C443="Draw",$F443,'HELOC Calculator'!$B$18))</f>
        <v/>
      </c>
      <c r="H443" s="15" t="str">
        <f t="shared" si="24"/>
        <v/>
      </c>
      <c r="I443" s="15" t="str">
        <f t="shared" si="25"/>
        <v/>
      </c>
    </row>
    <row r="444" spans="1:9" ht="15" customHeight="1" x14ac:dyDescent="0.3">
      <c r="A444" s="13" t="str">
        <f>IF(443&lt;='HELOC Calculator'!$B$16,443,"")</f>
        <v/>
      </c>
      <c r="B444" s="14" t="str">
        <f t="shared" si="26"/>
        <v/>
      </c>
      <c r="C444" s="13" t="str">
        <f>IF($A444="","",IF($A444&lt;='HELOC Calculator'!$B$14,"Draw","Repayment"))</f>
        <v/>
      </c>
      <c r="D444" s="15" t="str">
        <f t="shared" si="27"/>
        <v/>
      </c>
      <c r="E444" s="15" t="str">
        <f>IF($A444="","",IF($C444="Draw",'HELOC Calculator'!$B$7,0))</f>
        <v/>
      </c>
      <c r="F444" s="15" t="str">
        <f>IF($A444="","",$D444*('HELOC Calculator'!$B$8/12))</f>
        <v/>
      </c>
      <c r="G444" s="15" t="str">
        <f>IF($A444="","",IF($C444="Draw",$F444,'HELOC Calculator'!$B$18))</f>
        <v/>
      </c>
      <c r="H444" s="15" t="str">
        <f t="shared" si="24"/>
        <v/>
      </c>
      <c r="I444" s="15" t="str">
        <f t="shared" si="25"/>
        <v/>
      </c>
    </row>
    <row r="445" spans="1:9" ht="15" customHeight="1" x14ac:dyDescent="0.3">
      <c r="A445" s="13" t="str">
        <f>IF(444&lt;='HELOC Calculator'!$B$16,444,"")</f>
        <v/>
      </c>
      <c r="B445" s="14" t="str">
        <f t="shared" si="26"/>
        <v/>
      </c>
      <c r="C445" s="13" t="str">
        <f>IF($A445="","",IF($A445&lt;='HELOC Calculator'!$B$14,"Draw","Repayment"))</f>
        <v/>
      </c>
      <c r="D445" s="15" t="str">
        <f t="shared" si="27"/>
        <v/>
      </c>
      <c r="E445" s="15" t="str">
        <f>IF($A445="","",IF($C445="Draw",'HELOC Calculator'!$B$7,0))</f>
        <v/>
      </c>
      <c r="F445" s="15" t="str">
        <f>IF($A445="","",$D445*('HELOC Calculator'!$B$8/12))</f>
        <v/>
      </c>
      <c r="G445" s="15" t="str">
        <f>IF($A445="","",IF($C445="Draw",$F445,'HELOC Calculator'!$B$18))</f>
        <v/>
      </c>
      <c r="H445" s="15" t="str">
        <f t="shared" si="24"/>
        <v/>
      </c>
      <c r="I445" s="15" t="str">
        <f t="shared" si="25"/>
        <v/>
      </c>
    </row>
    <row r="446" spans="1:9" ht="15" customHeight="1" x14ac:dyDescent="0.3">
      <c r="A446" s="13" t="str">
        <f>IF(445&lt;='HELOC Calculator'!$B$16,445,"")</f>
        <v/>
      </c>
      <c r="B446" s="14" t="str">
        <f t="shared" si="26"/>
        <v/>
      </c>
      <c r="C446" s="13" t="str">
        <f>IF($A446="","",IF($A446&lt;='HELOC Calculator'!$B$14,"Draw","Repayment"))</f>
        <v/>
      </c>
      <c r="D446" s="15" t="str">
        <f t="shared" si="27"/>
        <v/>
      </c>
      <c r="E446" s="15" t="str">
        <f>IF($A446="","",IF($C446="Draw",'HELOC Calculator'!$B$7,0))</f>
        <v/>
      </c>
      <c r="F446" s="15" t="str">
        <f>IF($A446="","",$D446*('HELOC Calculator'!$B$8/12))</f>
        <v/>
      </c>
      <c r="G446" s="15" t="str">
        <f>IF($A446="","",IF($C446="Draw",$F446,'HELOC Calculator'!$B$18))</f>
        <v/>
      </c>
      <c r="H446" s="15" t="str">
        <f t="shared" si="24"/>
        <v/>
      </c>
      <c r="I446" s="15" t="str">
        <f t="shared" si="25"/>
        <v/>
      </c>
    </row>
    <row r="447" spans="1:9" ht="15" customHeight="1" x14ac:dyDescent="0.3">
      <c r="A447" s="13" t="str">
        <f>IF(446&lt;='HELOC Calculator'!$B$16,446,"")</f>
        <v/>
      </c>
      <c r="B447" s="14" t="str">
        <f t="shared" si="26"/>
        <v/>
      </c>
      <c r="C447" s="13" t="str">
        <f>IF($A447="","",IF($A447&lt;='HELOC Calculator'!$B$14,"Draw","Repayment"))</f>
        <v/>
      </c>
      <c r="D447" s="15" t="str">
        <f t="shared" si="27"/>
        <v/>
      </c>
      <c r="E447" s="15" t="str">
        <f>IF($A447="","",IF($C447="Draw",'HELOC Calculator'!$B$7,0))</f>
        <v/>
      </c>
      <c r="F447" s="15" t="str">
        <f>IF($A447="","",$D447*('HELOC Calculator'!$B$8/12))</f>
        <v/>
      </c>
      <c r="G447" s="15" t="str">
        <f>IF($A447="","",IF($C447="Draw",$F447,'HELOC Calculator'!$B$18))</f>
        <v/>
      </c>
      <c r="H447" s="15" t="str">
        <f t="shared" si="24"/>
        <v/>
      </c>
      <c r="I447" s="15" t="str">
        <f t="shared" si="25"/>
        <v/>
      </c>
    </row>
    <row r="448" spans="1:9" ht="15" customHeight="1" x14ac:dyDescent="0.3">
      <c r="A448" s="13" t="str">
        <f>IF(447&lt;='HELOC Calculator'!$B$16,447,"")</f>
        <v/>
      </c>
      <c r="B448" s="14" t="str">
        <f t="shared" si="26"/>
        <v/>
      </c>
      <c r="C448" s="13" t="str">
        <f>IF($A448="","",IF($A448&lt;='HELOC Calculator'!$B$14,"Draw","Repayment"))</f>
        <v/>
      </c>
      <c r="D448" s="15" t="str">
        <f t="shared" si="27"/>
        <v/>
      </c>
      <c r="E448" s="15" t="str">
        <f>IF($A448="","",IF($C448="Draw",'HELOC Calculator'!$B$7,0))</f>
        <v/>
      </c>
      <c r="F448" s="15" t="str">
        <f>IF($A448="","",$D448*('HELOC Calculator'!$B$8/12))</f>
        <v/>
      </c>
      <c r="G448" s="15" t="str">
        <f>IF($A448="","",IF($C448="Draw",$F448,'HELOC Calculator'!$B$18))</f>
        <v/>
      </c>
      <c r="H448" s="15" t="str">
        <f t="shared" si="24"/>
        <v/>
      </c>
      <c r="I448" s="15" t="str">
        <f t="shared" si="25"/>
        <v/>
      </c>
    </row>
    <row r="449" spans="1:9" ht="15" customHeight="1" x14ac:dyDescent="0.3">
      <c r="A449" s="13" t="str">
        <f>IF(448&lt;='HELOC Calculator'!$B$16,448,"")</f>
        <v/>
      </c>
      <c r="B449" s="14" t="str">
        <f t="shared" si="26"/>
        <v/>
      </c>
      <c r="C449" s="13" t="str">
        <f>IF($A449="","",IF($A449&lt;='HELOC Calculator'!$B$14,"Draw","Repayment"))</f>
        <v/>
      </c>
      <c r="D449" s="15" t="str">
        <f t="shared" si="27"/>
        <v/>
      </c>
      <c r="E449" s="15" t="str">
        <f>IF($A449="","",IF($C449="Draw",'HELOC Calculator'!$B$7,0))</f>
        <v/>
      </c>
      <c r="F449" s="15" t="str">
        <f>IF($A449="","",$D449*('HELOC Calculator'!$B$8/12))</f>
        <v/>
      </c>
      <c r="G449" s="15" t="str">
        <f>IF($A449="","",IF($C449="Draw",$F449,'HELOC Calculator'!$B$18))</f>
        <v/>
      </c>
      <c r="H449" s="15" t="str">
        <f t="shared" si="24"/>
        <v/>
      </c>
      <c r="I449" s="15" t="str">
        <f t="shared" si="25"/>
        <v/>
      </c>
    </row>
    <row r="450" spans="1:9" ht="15" customHeight="1" x14ac:dyDescent="0.3">
      <c r="A450" s="13" t="str">
        <f>IF(449&lt;='HELOC Calculator'!$B$16,449,"")</f>
        <v/>
      </c>
      <c r="B450" s="14" t="str">
        <f t="shared" si="26"/>
        <v/>
      </c>
      <c r="C450" s="13" t="str">
        <f>IF($A450="","",IF($A450&lt;='HELOC Calculator'!$B$14,"Draw","Repayment"))</f>
        <v/>
      </c>
      <c r="D450" s="15" t="str">
        <f t="shared" si="27"/>
        <v/>
      </c>
      <c r="E450" s="15" t="str">
        <f>IF($A450="","",IF($C450="Draw",'HELOC Calculator'!$B$7,0))</f>
        <v/>
      </c>
      <c r="F450" s="15" t="str">
        <f>IF($A450="","",$D450*('HELOC Calculator'!$B$8/12))</f>
        <v/>
      </c>
      <c r="G450" s="15" t="str">
        <f>IF($A450="","",IF($C450="Draw",$F450,'HELOC Calculator'!$B$18))</f>
        <v/>
      </c>
      <c r="H450" s="15" t="str">
        <f t="shared" ref="H450:H481" si="28">IF($A450="","",IF($C450="Draw",0,MAX($G450-$F450,0)))</f>
        <v/>
      </c>
      <c r="I450" s="15" t="str">
        <f t="shared" ref="I450:I481" si="29">IF($A450="","",MAX($D450+$E450-$H450,0))</f>
        <v/>
      </c>
    </row>
    <row r="451" spans="1:9" ht="15" customHeight="1" x14ac:dyDescent="0.3">
      <c r="A451" s="13" t="str">
        <f>IF(450&lt;='HELOC Calculator'!$B$16,450,"")</f>
        <v/>
      </c>
      <c r="B451" s="14" t="str">
        <f t="shared" ref="B451:B481" si="30">IF($A451="","",EDATE($B450,1))</f>
        <v/>
      </c>
      <c r="C451" s="13" t="str">
        <f>IF($A451="","",IF($A451&lt;='HELOC Calculator'!$B$14,"Draw","Repayment"))</f>
        <v/>
      </c>
      <c r="D451" s="15" t="str">
        <f t="shared" ref="D451:D481" si="31">IF($A451="","",$I450)</f>
        <v/>
      </c>
      <c r="E451" s="15" t="str">
        <f>IF($A451="","",IF($C451="Draw",'HELOC Calculator'!$B$7,0))</f>
        <v/>
      </c>
      <c r="F451" s="15" t="str">
        <f>IF($A451="","",$D451*('HELOC Calculator'!$B$8/12))</f>
        <v/>
      </c>
      <c r="G451" s="15" t="str">
        <f>IF($A451="","",IF($C451="Draw",$F451,'HELOC Calculator'!$B$18))</f>
        <v/>
      </c>
      <c r="H451" s="15" t="str">
        <f t="shared" si="28"/>
        <v/>
      </c>
      <c r="I451" s="15" t="str">
        <f t="shared" si="29"/>
        <v/>
      </c>
    </row>
    <row r="452" spans="1:9" ht="15" customHeight="1" x14ac:dyDescent="0.3">
      <c r="A452" s="13" t="str">
        <f>IF(451&lt;='HELOC Calculator'!$B$16,451,"")</f>
        <v/>
      </c>
      <c r="B452" s="14" t="str">
        <f t="shared" si="30"/>
        <v/>
      </c>
      <c r="C452" s="13" t="str">
        <f>IF($A452="","",IF($A452&lt;='HELOC Calculator'!$B$14,"Draw","Repayment"))</f>
        <v/>
      </c>
      <c r="D452" s="15" t="str">
        <f t="shared" si="31"/>
        <v/>
      </c>
      <c r="E452" s="15" t="str">
        <f>IF($A452="","",IF($C452="Draw",'HELOC Calculator'!$B$7,0))</f>
        <v/>
      </c>
      <c r="F452" s="15" t="str">
        <f>IF($A452="","",$D452*('HELOC Calculator'!$B$8/12))</f>
        <v/>
      </c>
      <c r="G452" s="15" t="str">
        <f>IF($A452="","",IF($C452="Draw",$F452,'HELOC Calculator'!$B$18))</f>
        <v/>
      </c>
      <c r="H452" s="15" t="str">
        <f t="shared" si="28"/>
        <v/>
      </c>
      <c r="I452" s="15" t="str">
        <f t="shared" si="29"/>
        <v/>
      </c>
    </row>
    <row r="453" spans="1:9" ht="15" customHeight="1" x14ac:dyDescent="0.3">
      <c r="A453" s="13" t="str">
        <f>IF(452&lt;='HELOC Calculator'!$B$16,452,"")</f>
        <v/>
      </c>
      <c r="B453" s="14" t="str">
        <f t="shared" si="30"/>
        <v/>
      </c>
      <c r="C453" s="13" t="str">
        <f>IF($A453="","",IF($A453&lt;='HELOC Calculator'!$B$14,"Draw","Repayment"))</f>
        <v/>
      </c>
      <c r="D453" s="15" t="str">
        <f t="shared" si="31"/>
        <v/>
      </c>
      <c r="E453" s="15" t="str">
        <f>IF($A453="","",IF($C453="Draw",'HELOC Calculator'!$B$7,0))</f>
        <v/>
      </c>
      <c r="F453" s="15" t="str">
        <f>IF($A453="","",$D453*('HELOC Calculator'!$B$8/12))</f>
        <v/>
      </c>
      <c r="G453" s="15" t="str">
        <f>IF($A453="","",IF($C453="Draw",$F453,'HELOC Calculator'!$B$18))</f>
        <v/>
      </c>
      <c r="H453" s="15" t="str">
        <f t="shared" si="28"/>
        <v/>
      </c>
      <c r="I453" s="15" t="str">
        <f t="shared" si="29"/>
        <v/>
      </c>
    </row>
    <row r="454" spans="1:9" ht="15" customHeight="1" x14ac:dyDescent="0.3">
      <c r="A454" s="13" t="str">
        <f>IF(453&lt;='HELOC Calculator'!$B$16,453,"")</f>
        <v/>
      </c>
      <c r="B454" s="14" t="str">
        <f t="shared" si="30"/>
        <v/>
      </c>
      <c r="C454" s="13" t="str">
        <f>IF($A454="","",IF($A454&lt;='HELOC Calculator'!$B$14,"Draw","Repayment"))</f>
        <v/>
      </c>
      <c r="D454" s="15" t="str">
        <f t="shared" si="31"/>
        <v/>
      </c>
      <c r="E454" s="15" t="str">
        <f>IF($A454="","",IF($C454="Draw",'HELOC Calculator'!$B$7,0))</f>
        <v/>
      </c>
      <c r="F454" s="15" t="str">
        <f>IF($A454="","",$D454*('HELOC Calculator'!$B$8/12))</f>
        <v/>
      </c>
      <c r="G454" s="15" t="str">
        <f>IF($A454="","",IF($C454="Draw",$F454,'HELOC Calculator'!$B$18))</f>
        <v/>
      </c>
      <c r="H454" s="15" t="str">
        <f t="shared" si="28"/>
        <v/>
      </c>
      <c r="I454" s="15" t="str">
        <f t="shared" si="29"/>
        <v/>
      </c>
    </row>
    <row r="455" spans="1:9" ht="15" customHeight="1" x14ac:dyDescent="0.3">
      <c r="A455" s="13" t="str">
        <f>IF(454&lt;='HELOC Calculator'!$B$16,454,"")</f>
        <v/>
      </c>
      <c r="B455" s="14" t="str">
        <f t="shared" si="30"/>
        <v/>
      </c>
      <c r="C455" s="13" t="str">
        <f>IF($A455="","",IF($A455&lt;='HELOC Calculator'!$B$14,"Draw","Repayment"))</f>
        <v/>
      </c>
      <c r="D455" s="15" t="str">
        <f t="shared" si="31"/>
        <v/>
      </c>
      <c r="E455" s="15" t="str">
        <f>IF($A455="","",IF($C455="Draw",'HELOC Calculator'!$B$7,0))</f>
        <v/>
      </c>
      <c r="F455" s="15" t="str">
        <f>IF($A455="","",$D455*('HELOC Calculator'!$B$8/12))</f>
        <v/>
      </c>
      <c r="G455" s="15" t="str">
        <f>IF($A455="","",IF($C455="Draw",$F455,'HELOC Calculator'!$B$18))</f>
        <v/>
      </c>
      <c r="H455" s="15" t="str">
        <f t="shared" si="28"/>
        <v/>
      </c>
      <c r="I455" s="15" t="str">
        <f t="shared" si="29"/>
        <v/>
      </c>
    </row>
    <row r="456" spans="1:9" ht="15" customHeight="1" x14ac:dyDescent="0.3">
      <c r="A456" s="13" t="str">
        <f>IF(455&lt;='HELOC Calculator'!$B$16,455,"")</f>
        <v/>
      </c>
      <c r="B456" s="14" t="str">
        <f t="shared" si="30"/>
        <v/>
      </c>
      <c r="C456" s="13" t="str">
        <f>IF($A456="","",IF($A456&lt;='HELOC Calculator'!$B$14,"Draw","Repayment"))</f>
        <v/>
      </c>
      <c r="D456" s="15" t="str">
        <f t="shared" si="31"/>
        <v/>
      </c>
      <c r="E456" s="15" t="str">
        <f>IF($A456="","",IF($C456="Draw",'HELOC Calculator'!$B$7,0))</f>
        <v/>
      </c>
      <c r="F456" s="15" t="str">
        <f>IF($A456="","",$D456*('HELOC Calculator'!$B$8/12))</f>
        <v/>
      </c>
      <c r="G456" s="15" t="str">
        <f>IF($A456="","",IF($C456="Draw",$F456,'HELOC Calculator'!$B$18))</f>
        <v/>
      </c>
      <c r="H456" s="15" t="str">
        <f t="shared" si="28"/>
        <v/>
      </c>
      <c r="I456" s="15" t="str">
        <f t="shared" si="29"/>
        <v/>
      </c>
    </row>
    <row r="457" spans="1:9" ht="15" customHeight="1" x14ac:dyDescent="0.3">
      <c r="A457" s="13" t="str">
        <f>IF(456&lt;='HELOC Calculator'!$B$16,456,"")</f>
        <v/>
      </c>
      <c r="B457" s="14" t="str">
        <f t="shared" si="30"/>
        <v/>
      </c>
      <c r="C457" s="13" t="str">
        <f>IF($A457="","",IF($A457&lt;='HELOC Calculator'!$B$14,"Draw","Repayment"))</f>
        <v/>
      </c>
      <c r="D457" s="15" t="str">
        <f t="shared" si="31"/>
        <v/>
      </c>
      <c r="E457" s="15" t="str">
        <f>IF($A457="","",IF($C457="Draw",'HELOC Calculator'!$B$7,0))</f>
        <v/>
      </c>
      <c r="F457" s="15" t="str">
        <f>IF($A457="","",$D457*('HELOC Calculator'!$B$8/12))</f>
        <v/>
      </c>
      <c r="G457" s="15" t="str">
        <f>IF($A457="","",IF($C457="Draw",$F457,'HELOC Calculator'!$B$18))</f>
        <v/>
      </c>
      <c r="H457" s="15" t="str">
        <f t="shared" si="28"/>
        <v/>
      </c>
      <c r="I457" s="15" t="str">
        <f t="shared" si="29"/>
        <v/>
      </c>
    </row>
    <row r="458" spans="1:9" ht="15" customHeight="1" x14ac:dyDescent="0.3">
      <c r="A458" s="13" t="str">
        <f>IF(457&lt;='HELOC Calculator'!$B$16,457,"")</f>
        <v/>
      </c>
      <c r="B458" s="14" t="str">
        <f t="shared" si="30"/>
        <v/>
      </c>
      <c r="C458" s="13" t="str">
        <f>IF($A458="","",IF($A458&lt;='HELOC Calculator'!$B$14,"Draw","Repayment"))</f>
        <v/>
      </c>
      <c r="D458" s="15" t="str">
        <f t="shared" si="31"/>
        <v/>
      </c>
      <c r="E458" s="15" t="str">
        <f>IF($A458="","",IF($C458="Draw",'HELOC Calculator'!$B$7,0))</f>
        <v/>
      </c>
      <c r="F458" s="15" t="str">
        <f>IF($A458="","",$D458*('HELOC Calculator'!$B$8/12))</f>
        <v/>
      </c>
      <c r="G458" s="15" t="str">
        <f>IF($A458="","",IF($C458="Draw",$F458,'HELOC Calculator'!$B$18))</f>
        <v/>
      </c>
      <c r="H458" s="15" t="str">
        <f t="shared" si="28"/>
        <v/>
      </c>
      <c r="I458" s="15" t="str">
        <f t="shared" si="29"/>
        <v/>
      </c>
    </row>
    <row r="459" spans="1:9" ht="15" customHeight="1" x14ac:dyDescent="0.3">
      <c r="A459" s="13" t="str">
        <f>IF(458&lt;='HELOC Calculator'!$B$16,458,"")</f>
        <v/>
      </c>
      <c r="B459" s="14" t="str">
        <f t="shared" si="30"/>
        <v/>
      </c>
      <c r="C459" s="13" t="str">
        <f>IF($A459="","",IF($A459&lt;='HELOC Calculator'!$B$14,"Draw","Repayment"))</f>
        <v/>
      </c>
      <c r="D459" s="15" t="str">
        <f t="shared" si="31"/>
        <v/>
      </c>
      <c r="E459" s="15" t="str">
        <f>IF($A459="","",IF($C459="Draw",'HELOC Calculator'!$B$7,0))</f>
        <v/>
      </c>
      <c r="F459" s="15" t="str">
        <f>IF($A459="","",$D459*('HELOC Calculator'!$B$8/12))</f>
        <v/>
      </c>
      <c r="G459" s="15" t="str">
        <f>IF($A459="","",IF($C459="Draw",$F459,'HELOC Calculator'!$B$18))</f>
        <v/>
      </c>
      <c r="H459" s="15" t="str">
        <f t="shared" si="28"/>
        <v/>
      </c>
      <c r="I459" s="15" t="str">
        <f t="shared" si="29"/>
        <v/>
      </c>
    </row>
    <row r="460" spans="1:9" ht="15" customHeight="1" x14ac:dyDescent="0.3">
      <c r="A460" s="13" t="str">
        <f>IF(459&lt;='HELOC Calculator'!$B$16,459,"")</f>
        <v/>
      </c>
      <c r="B460" s="14" t="str">
        <f t="shared" si="30"/>
        <v/>
      </c>
      <c r="C460" s="13" t="str">
        <f>IF($A460="","",IF($A460&lt;='HELOC Calculator'!$B$14,"Draw","Repayment"))</f>
        <v/>
      </c>
      <c r="D460" s="15" t="str">
        <f t="shared" si="31"/>
        <v/>
      </c>
      <c r="E460" s="15" t="str">
        <f>IF($A460="","",IF($C460="Draw",'HELOC Calculator'!$B$7,0))</f>
        <v/>
      </c>
      <c r="F460" s="15" t="str">
        <f>IF($A460="","",$D460*('HELOC Calculator'!$B$8/12))</f>
        <v/>
      </c>
      <c r="G460" s="15" t="str">
        <f>IF($A460="","",IF($C460="Draw",$F460,'HELOC Calculator'!$B$18))</f>
        <v/>
      </c>
      <c r="H460" s="15" t="str">
        <f t="shared" si="28"/>
        <v/>
      </c>
      <c r="I460" s="15" t="str">
        <f t="shared" si="29"/>
        <v/>
      </c>
    </row>
    <row r="461" spans="1:9" ht="15" customHeight="1" x14ac:dyDescent="0.3">
      <c r="A461" s="13" t="str">
        <f>IF(460&lt;='HELOC Calculator'!$B$16,460,"")</f>
        <v/>
      </c>
      <c r="B461" s="14" t="str">
        <f t="shared" si="30"/>
        <v/>
      </c>
      <c r="C461" s="13" t="str">
        <f>IF($A461="","",IF($A461&lt;='HELOC Calculator'!$B$14,"Draw","Repayment"))</f>
        <v/>
      </c>
      <c r="D461" s="15" t="str">
        <f t="shared" si="31"/>
        <v/>
      </c>
      <c r="E461" s="15" t="str">
        <f>IF($A461="","",IF($C461="Draw",'HELOC Calculator'!$B$7,0))</f>
        <v/>
      </c>
      <c r="F461" s="15" t="str">
        <f>IF($A461="","",$D461*('HELOC Calculator'!$B$8/12))</f>
        <v/>
      </c>
      <c r="G461" s="15" t="str">
        <f>IF($A461="","",IF($C461="Draw",$F461,'HELOC Calculator'!$B$18))</f>
        <v/>
      </c>
      <c r="H461" s="15" t="str">
        <f t="shared" si="28"/>
        <v/>
      </c>
      <c r="I461" s="15" t="str">
        <f t="shared" si="29"/>
        <v/>
      </c>
    </row>
    <row r="462" spans="1:9" ht="15" customHeight="1" x14ac:dyDescent="0.3">
      <c r="A462" s="13" t="str">
        <f>IF(461&lt;='HELOC Calculator'!$B$16,461,"")</f>
        <v/>
      </c>
      <c r="B462" s="14" t="str">
        <f t="shared" si="30"/>
        <v/>
      </c>
      <c r="C462" s="13" t="str">
        <f>IF($A462="","",IF($A462&lt;='HELOC Calculator'!$B$14,"Draw","Repayment"))</f>
        <v/>
      </c>
      <c r="D462" s="15" t="str">
        <f t="shared" si="31"/>
        <v/>
      </c>
      <c r="E462" s="15" t="str">
        <f>IF($A462="","",IF($C462="Draw",'HELOC Calculator'!$B$7,0))</f>
        <v/>
      </c>
      <c r="F462" s="15" t="str">
        <f>IF($A462="","",$D462*('HELOC Calculator'!$B$8/12))</f>
        <v/>
      </c>
      <c r="G462" s="15" t="str">
        <f>IF($A462="","",IF($C462="Draw",$F462,'HELOC Calculator'!$B$18))</f>
        <v/>
      </c>
      <c r="H462" s="15" t="str">
        <f t="shared" si="28"/>
        <v/>
      </c>
      <c r="I462" s="15" t="str">
        <f t="shared" si="29"/>
        <v/>
      </c>
    </row>
    <row r="463" spans="1:9" ht="15" customHeight="1" x14ac:dyDescent="0.3">
      <c r="A463" s="13" t="str">
        <f>IF(462&lt;='HELOC Calculator'!$B$16,462,"")</f>
        <v/>
      </c>
      <c r="B463" s="14" t="str">
        <f t="shared" si="30"/>
        <v/>
      </c>
      <c r="C463" s="13" t="str">
        <f>IF($A463="","",IF($A463&lt;='HELOC Calculator'!$B$14,"Draw","Repayment"))</f>
        <v/>
      </c>
      <c r="D463" s="15" t="str">
        <f t="shared" si="31"/>
        <v/>
      </c>
      <c r="E463" s="15" t="str">
        <f>IF($A463="","",IF($C463="Draw",'HELOC Calculator'!$B$7,0))</f>
        <v/>
      </c>
      <c r="F463" s="15" t="str">
        <f>IF($A463="","",$D463*('HELOC Calculator'!$B$8/12))</f>
        <v/>
      </c>
      <c r="G463" s="15" t="str">
        <f>IF($A463="","",IF($C463="Draw",$F463,'HELOC Calculator'!$B$18))</f>
        <v/>
      </c>
      <c r="H463" s="15" t="str">
        <f t="shared" si="28"/>
        <v/>
      </c>
      <c r="I463" s="15" t="str">
        <f t="shared" si="29"/>
        <v/>
      </c>
    </row>
    <row r="464" spans="1:9" ht="15" customHeight="1" x14ac:dyDescent="0.3">
      <c r="A464" s="13" t="str">
        <f>IF(463&lt;='HELOC Calculator'!$B$16,463,"")</f>
        <v/>
      </c>
      <c r="B464" s="14" t="str">
        <f t="shared" si="30"/>
        <v/>
      </c>
      <c r="C464" s="13" t="str">
        <f>IF($A464="","",IF($A464&lt;='HELOC Calculator'!$B$14,"Draw","Repayment"))</f>
        <v/>
      </c>
      <c r="D464" s="15" t="str">
        <f t="shared" si="31"/>
        <v/>
      </c>
      <c r="E464" s="15" t="str">
        <f>IF($A464="","",IF($C464="Draw",'HELOC Calculator'!$B$7,0))</f>
        <v/>
      </c>
      <c r="F464" s="15" t="str">
        <f>IF($A464="","",$D464*('HELOC Calculator'!$B$8/12))</f>
        <v/>
      </c>
      <c r="G464" s="15" t="str">
        <f>IF($A464="","",IF($C464="Draw",$F464,'HELOC Calculator'!$B$18))</f>
        <v/>
      </c>
      <c r="H464" s="15" t="str">
        <f t="shared" si="28"/>
        <v/>
      </c>
      <c r="I464" s="15" t="str">
        <f t="shared" si="29"/>
        <v/>
      </c>
    </row>
    <row r="465" spans="1:9" ht="15" customHeight="1" x14ac:dyDescent="0.3">
      <c r="A465" s="13" t="str">
        <f>IF(464&lt;='HELOC Calculator'!$B$16,464,"")</f>
        <v/>
      </c>
      <c r="B465" s="14" t="str">
        <f t="shared" si="30"/>
        <v/>
      </c>
      <c r="C465" s="13" t="str">
        <f>IF($A465="","",IF($A465&lt;='HELOC Calculator'!$B$14,"Draw","Repayment"))</f>
        <v/>
      </c>
      <c r="D465" s="15" t="str">
        <f t="shared" si="31"/>
        <v/>
      </c>
      <c r="E465" s="15" t="str">
        <f>IF($A465="","",IF($C465="Draw",'HELOC Calculator'!$B$7,0))</f>
        <v/>
      </c>
      <c r="F465" s="15" t="str">
        <f>IF($A465="","",$D465*('HELOC Calculator'!$B$8/12))</f>
        <v/>
      </c>
      <c r="G465" s="15" t="str">
        <f>IF($A465="","",IF($C465="Draw",$F465,'HELOC Calculator'!$B$18))</f>
        <v/>
      </c>
      <c r="H465" s="15" t="str">
        <f t="shared" si="28"/>
        <v/>
      </c>
      <c r="I465" s="15" t="str">
        <f t="shared" si="29"/>
        <v/>
      </c>
    </row>
    <row r="466" spans="1:9" ht="15" customHeight="1" x14ac:dyDescent="0.3">
      <c r="A466" s="13" t="str">
        <f>IF(465&lt;='HELOC Calculator'!$B$16,465,"")</f>
        <v/>
      </c>
      <c r="B466" s="14" t="str">
        <f t="shared" si="30"/>
        <v/>
      </c>
      <c r="C466" s="13" t="str">
        <f>IF($A466="","",IF($A466&lt;='HELOC Calculator'!$B$14,"Draw","Repayment"))</f>
        <v/>
      </c>
      <c r="D466" s="15" t="str">
        <f t="shared" si="31"/>
        <v/>
      </c>
      <c r="E466" s="15" t="str">
        <f>IF($A466="","",IF($C466="Draw",'HELOC Calculator'!$B$7,0))</f>
        <v/>
      </c>
      <c r="F466" s="15" t="str">
        <f>IF($A466="","",$D466*('HELOC Calculator'!$B$8/12))</f>
        <v/>
      </c>
      <c r="G466" s="15" t="str">
        <f>IF($A466="","",IF($C466="Draw",$F466,'HELOC Calculator'!$B$18))</f>
        <v/>
      </c>
      <c r="H466" s="15" t="str">
        <f t="shared" si="28"/>
        <v/>
      </c>
      <c r="I466" s="15" t="str">
        <f t="shared" si="29"/>
        <v/>
      </c>
    </row>
    <row r="467" spans="1:9" ht="15" customHeight="1" x14ac:dyDescent="0.3">
      <c r="A467" s="13" t="str">
        <f>IF(466&lt;='HELOC Calculator'!$B$16,466,"")</f>
        <v/>
      </c>
      <c r="B467" s="14" t="str">
        <f t="shared" si="30"/>
        <v/>
      </c>
      <c r="C467" s="13" t="str">
        <f>IF($A467="","",IF($A467&lt;='HELOC Calculator'!$B$14,"Draw","Repayment"))</f>
        <v/>
      </c>
      <c r="D467" s="15" t="str">
        <f t="shared" si="31"/>
        <v/>
      </c>
      <c r="E467" s="15" t="str">
        <f>IF($A467="","",IF($C467="Draw",'HELOC Calculator'!$B$7,0))</f>
        <v/>
      </c>
      <c r="F467" s="15" t="str">
        <f>IF($A467="","",$D467*('HELOC Calculator'!$B$8/12))</f>
        <v/>
      </c>
      <c r="G467" s="15" t="str">
        <f>IF($A467="","",IF($C467="Draw",$F467,'HELOC Calculator'!$B$18))</f>
        <v/>
      </c>
      <c r="H467" s="15" t="str">
        <f t="shared" si="28"/>
        <v/>
      </c>
      <c r="I467" s="15" t="str">
        <f t="shared" si="29"/>
        <v/>
      </c>
    </row>
    <row r="468" spans="1:9" ht="15" customHeight="1" x14ac:dyDescent="0.3">
      <c r="A468" s="13" t="str">
        <f>IF(467&lt;='HELOC Calculator'!$B$16,467,"")</f>
        <v/>
      </c>
      <c r="B468" s="14" t="str">
        <f t="shared" si="30"/>
        <v/>
      </c>
      <c r="C468" s="13" t="str">
        <f>IF($A468="","",IF($A468&lt;='HELOC Calculator'!$B$14,"Draw","Repayment"))</f>
        <v/>
      </c>
      <c r="D468" s="15" t="str">
        <f t="shared" si="31"/>
        <v/>
      </c>
      <c r="E468" s="15" t="str">
        <f>IF($A468="","",IF($C468="Draw",'HELOC Calculator'!$B$7,0))</f>
        <v/>
      </c>
      <c r="F468" s="15" t="str">
        <f>IF($A468="","",$D468*('HELOC Calculator'!$B$8/12))</f>
        <v/>
      </c>
      <c r="G468" s="15" t="str">
        <f>IF($A468="","",IF($C468="Draw",$F468,'HELOC Calculator'!$B$18))</f>
        <v/>
      </c>
      <c r="H468" s="15" t="str">
        <f t="shared" si="28"/>
        <v/>
      </c>
      <c r="I468" s="15" t="str">
        <f t="shared" si="29"/>
        <v/>
      </c>
    </row>
    <row r="469" spans="1:9" ht="15" customHeight="1" x14ac:dyDescent="0.3">
      <c r="A469" s="13" t="str">
        <f>IF(468&lt;='HELOC Calculator'!$B$16,468,"")</f>
        <v/>
      </c>
      <c r="B469" s="14" t="str">
        <f t="shared" si="30"/>
        <v/>
      </c>
      <c r="C469" s="13" t="str">
        <f>IF($A469="","",IF($A469&lt;='HELOC Calculator'!$B$14,"Draw","Repayment"))</f>
        <v/>
      </c>
      <c r="D469" s="15" t="str">
        <f t="shared" si="31"/>
        <v/>
      </c>
      <c r="E469" s="15" t="str">
        <f>IF($A469="","",IF($C469="Draw",'HELOC Calculator'!$B$7,0))</f>
        <v/>
      </c>
      <c r="F469" s="15" t="str">
        <f>IF($A469="","",$D469*('HELOC Calculator'!$B$8/12))</f>
        <v/>
      </c>
      <c r="G469" s="15" t="str">
        <f>IF($A469="","",IF($C469="Draw",$F469,'HELOC Calculator'!$B$18))</f>
        <v/>
      </c>
      <c r="H469" s="15" t="str">
        <f t="shared" si="28"/>
        <v/>
      </c>
      <c r="I469" s="15" t="str">
        <f t="shared" si="29"/>
        <v/>
      </c>
    </row>
    <row r="470" spans="1:9" ht="15" customHeight="1" x14ac:dyDescent="0.3">
      <c r="A470" s="13" t="str">
        <f>IF(469&lt;='HELOC Calculator'!$B$16,469,"")</f>
        <v/>
      </c>
      <c r="B470" s="14" t="str">
        <f t="shared" si="30"/>
        <v/>
      </c>
      <c r="C470" s="13" t="str">
        <f>IF($A470="","",IF($A470&lt;='HELOC Calculator'!$B$14,"Draw","Repayment"))</f>
        <v/>
      </c>
      <c r="D470" s="15" t="str">
        <f t="shared" si="31"/>
        <v/>
      </c>
      <c r="E470" s="15" t="str">
        <f>IF($A470="","",IF($C470="Draw",'HELOC Calculator'!$B$7,0))</f>
        <v/>
      </c>
      <c r="F470" s="15" t="str">
        <f>IF($A470="","",$D470*('HELOC Calculator'!$B$8/12))</f>
        <v/>
      </c>
      <c r="G470" s="15" t="str">
        <f>IF($A470="","",IF($C470="Draw",$F470,'HELOC Calculator'!$B$18))</f>
        <v/>
      </c>
      <c r="H470" s="15" t="str">
        <f t="shared" si="28"/>
        <v/>
      </c>
      <c r="I470" s="15" t="str">
        <f t="shared" si="29"/>
        <v/>
      </c>
    </row>
    <row r="471" spans="1:9" ht="15" customHeight="1" x14ac:dyDescent="0.3">
      <c r="A471" s="13" t="str">
        <f>IF(470&lt;='HELOC Calculator'!$B$16,470,"")</f>
        <v/>
      </c>
      <c r="B471" s="14" t="str">
        <f t="shared" si="30"/>
        <v/>
      </c>
      <c r="C471" s="13" t="str">
        <f>IF($A471="","",IF($A471&lt;='HELOC Calculator'!$B$14,"Draw","Repayment"))</f>
        <v/>
      </c>
      <c r="D471" s="15" t="str">
        <f t="shared" si="31"/>
        <v/>
      </c>
      <c r="E471" s="15" t="str">
        <f>IF($A471="","",IF($C471="Draw",'HELOC Calculator'!$B$7,0))</f>
        <v/>
      </c>
      <c r="F471" s="15" t="str">
        <f>IF($A471="","",$D471*('HELOC Calculator'!$B$8/12))</f>
        <v/>
      </c>
      <c r="G471" s="15" t="str">
        <f>IF($A471="","",IF($C471="Draw",$F471,'HELOC Calculator'!$B$18))</f>
        <v/>
      </c>
      <c r="H471" s="15" t="str">
        <f t="shared" si="28"/>
        <v/>
      </c>
      <c r="I471" s="15" t="str">
        <f t="shared" si="29"/>
        <v/>
      </c>
    </row>
    <row r="472" spans="1:9" ht="15" customHeight="1" x14ac:dyDescent="0.3">
      <c r="A472" s="13" t="str">
        <f>IF(471&lt;='HELOC Calculator'!$B$16,471,"")</f>
        <v/>
      </c>
      <c r="B472" s="14" t="str">
        <f t="shared" si="30"/>
        <v/>
      </c>
      <c r="C472" s="13" t="str">
        <f>IF($A472="","",IF($A472&lt;='HELOC Calculator'!$B$14,"Draw","Repayment"))</f>
        <v/>
      </c>
      <c r="D472" s="15" t="str">
        <f t="shared" si="31"/>
        <v/>
      </c>
      <c r="E472" s="15" t="str">
        <f>IF($A472="","",IF($C472="Draw",'HELOC Calculator'!$B$7,0))</f>
        <v/>
      </c>
      <c r="F472" s="15" t="str">
        <f>IF($A472="","",$D472*('HELOC Calculator'!$B$8/12))</f>
        <v/>
      </c>
      <c r="G472" s="15" t="str">
        <f>IF($A472="","",IF($C472="Draw",$F472,'HELOC Calculator'!$B$18))</f>
        <v/>
      </c>
      <c r="H472" s="15" t="str">
        <f t="shared" si="28"/>
        <v/>
      </c>
      <c r="I472" s="15" t="str">
        <f t="shared" si="29"/>
        <v/>
      </c>
    </row>
    <row r="473" spans="1:9" ht="15" customHeight="1" x14ac:dyDescent="0.3">
      <c r="A473" s="13" t="str">
        <f>IF(472&lt;='HELOC Calculator'!$B$16,472,"")</f>
        <v/>
      </c>
      <c r="B473" s="14" t="str">
        <f t="shared" si="30"/>
        <v/>
      </c>
      <c r="C473" s="13" t="str">
        <f>IF($A473="","",IF($A473&lt;='HELOC Calculator'!$B$14,"Draw","Repayment"))</f>
        <v/>
      </c>
      <c r="D473" s="15" t="str">
        <f t="shared" si="31"/>
        <v/>
      </c>
      <c r="E473" s="15" t="str">
        <f>IF($A473="","",IF($C473="Draw",'HELOC Calculator'!$B$7,0))</f>
        <v/>
      </c>
      <c r="F473" s="15" t="str">
        <f>IF($A473="","",$D473*('HELOC Calculator'!$B$8/12))</f>
        <v/>
      </c>
      <c r="G473" s="15" t="str">
        <f>IF($A473="","",IF($C473="Draw",$F473,'HELOC Calculator'!$B$18))</f>
        <v/>
      </c>
      <c r="H473" s="15" t="str">
        <f t="shared" si="28"/>
        <v/>
      </c>
      <c r="I473" s="15" t="str">
        <f t="shared" si="29"/>
        <v/>
      </c>
    </row>
    <row r="474" spans="1:9" ht="15" customHeight="1" x14ac:dyDescent="0.3">
      <c r="A474" s="13" t="str">
        <f>IF(473&lt;='HELOC Calculator'!$B$16,473,"")</f>
        <v/>
      </c>
      <c r="B474" s="14" t="str">
        <f t="shared" si="30"/>
        <v/>
      </c>
      <c r="C474" s="13" t="str">
        <f>IF($A474="","",IF($A474&lt;='HELOC Calculator'!$B$14,"Draw","Repayment"))</f>
        <v/>
      </c>
      <c r="D474" s="15" t="str">
        <f t="shared" si="31"/>
        <v/>
      </c>
      <c r="E474" s="15" t="str">
        <f>IF($A474="","",IF($C474="Draw",'HELOC Calculator'!$B$7,0))</f>
        <v/>
      </c>
      <c r="F474" s="15" t="str">
        <f>IF($A474="","",$D474*('HELOC Calculator'!$B$8/12))</f>
        <v/>
      </c>
      <c r="G474" s="15" t="str">
        <f>IF($A474="","",IF($C474="Draw",$F474,'HELOC Calculator'!$B$18))</f>
        <v/>
      </c>
      <c r="H474" s="15" t="str">
        <f t="shared" si="28"/>
        <v/>
      </c>
      <c r="I474" s="15" t="str">
        <f t="shared" si="29"/>
        <v/>
      </c>
    </row>
    <row r="475" spans="1:9" ht="15" customHeight="1" x14ac:dyDescent="0.3">
      <c r="A475" s="13" t="str">
        <f>IF(474&lt;='HELOC Calculator'!$B$16,474,"")</f>
        <v/>
      </c>
      <c r="B475" s="14" t="str">
        <f t="shared" si="30"/>
        <v/>
      </c>
      <c r="C475" s="13" t="str">
        <f>IF($A475="","",IF($A475&lt;='HELOC Calculator'!$B$14,"Draw","Repayment"))</f>
        <v/>
      </c>
      <c r="D475" s="15" t="str">
        <f t="shared" si="31"/>
        <v/>
      </c>
      <c r="E475" s="15" t="str">
        <f>IF($A475="","",IF($C475="Draw",'HELOC Calculator'!$B$7,0))</f>
        <v/>
      </c>
      <c r="F475" s="15" t="str">
        <f>IF($A475="","",$D475*('HELOC Calculator'!$B$8/12))</f>
        <v/>
      </c>
      <c r="G475" s="15" t="str">
        <f>IF($A475="","",IF($C475="Draw",$F475,'HELOC Calculator'!$B$18))</f>
        <v/>
      </c>
      <c r="H475" s="15" t="str">
        <f t="shared" si="28"/>
        <v/>
      </c>
      <c r="I475" s="15" t="str">
        <f t="shared" si="29"/>
        <v/>
      </c>
    </row>
    <row r="476" spans="1:9" ht="15" customHeight="1" x14ac:dyDescent="0.3">
      <c r="A476" s="13" t="str">
        <f>IF(475&lt;='HELOC Calculator'!$B$16,475,"")</f>
        <v/>
      </c>
      <c r="B476" s="14" t="str">
        <f t="shared" si="30"/>
        <v/>
      </c>
      <c r="C476" s="13" t="str">
        <f>IF($A476="","",IF($A476&lt;='HELOC Calculator'!$B$14,"Draw","Repayment"))</f>
        <v/>
      </c>
      <c r="D476" s="15" t="str">
        <f t="shared" si="31"/>
        <v/>
      </c>
      <c r="E476" s="15" t="str">
        <f>IF($A476="","",IF($C476="Draw",'HELOC Calculator'!$B$7,0))</f>
        <v/>
      </c>
      <c r="F476" s="15" t="str">
        <f>IF($A476="","",$D476*('HELOC Calculator'!$B$8/12))</f>
        <v/>
      </c>
      <c r="G476" s="15" t="str">
        <f>IF($A476="","",IF($C476="Draw",$F476,'HELOC Calculator'!$B$18))</f>
        <v/>
      </c>
      <c r="H476" s="15" t="str">
        <f t="shared" si="28"/>
        <v/>
      </c>
      <c r="I476" s="15" t="str">
        <f t="shared" si="29"/>
        <v/>
      </c>
    </row>
    <row r="477" spans="1:9" ht="15" customHeight="1" x14ac:dyDescent="0.3">
      <c r="A477" s="13" t="str">
        <f>IF(476&lt;='HELOC Calculator'!$B$16,476,"")</f>
        <v/>
      </c>
      <c r="B477" s="14" t="str">
        <f t="shared" si="30"/>
        <v/>
      </c>
      <c r="C477" s="13" t="str">
        <f>IF($A477="","",IF($A477&lt;='HELOC Calculator'!$B$14,"Draw","Repayment"))</f>
        <v/>
      </c>
      <c r="D477" s="15" t="str">
        <f t="shared" si="31"/>
        <v/>
      </c>
      <c r="E477" s="15" t="str">
        <f>IF($A477="","",IF($C477="Draw",'HELOC Calculator'!$B$7,0))</f>
        <v/>
      </c>
      <c r="F477" s="15" t="str">
        <f>IF($A477="","",$D477*('HELOC Calculator'!$B$8/12))</f>
        <v/>
      </c>
      <c r="G477" s="15" t="str">
        <f>IF($A477="","",IF($C477="Draw",$F477,'HELOC Calculator'!$B$18))</f>
        <v/>
      </c>
      <c r="H477" s="15" t="str">
        <f t="shared" si="28"/>
        <v/>
      </c>
      <c r="I477" s="15" t="str">
        <f t="shared" si="29"/>
        <v/>
      </c>
    </row>
    <row r="478" spans="1:9" ht="15" customHeight="1" x14ac:dyDescent="0.3">
      <c r="A478" s="13" t="str">
        <f>IF(477&lt;='HELOC Calculator'!$B$16,477,"")</f>
        <v/>
      </c>
      <c r="B478" s="14" t="str">
        <f t="shared" si="30"/>
        <v/>
      </c>
      <c r="C478" s="13" t="str">
        <f>IF($A478="","",IF($A478&lt;='HELOC Calculator'!$B$14,"Draw","Repayment"))</f>
        <v/>
      </c>
      <c r="D478" s="15" t="str">
        <f t="shared" si="31"/>
        <v/>
      </c>
      <c r="E478" s="15" t="str">
        <f>IF($A478="","",IF($C478="Draw",'HELOC Calculator'!$B$7,0))</f>
        <v/>
      </c>
      <c r="F478" s="15" t="str">
        <f>IF($A478="","",$D478*('HELOC Calculator'!$B$8/12))</f>
        <v/>
      </c>
      <c r="G478" s="15" t="str">
        <f>IF($A478="","",IF($C478="Draw",$F478,'HELOC Calculator'!$B$18))</f>
        <v/>
      </c>
      <c r="H478" s="15" t="str">
        <f t="shared" si="28"/>
        <v/>
      </c>
      <c r="I478" s="15" t="str">
        <f t="shared" si="29"/>
        <v/>
      </c>
    </row>
    <row r="479" spans="1:9" ht="15" customHeight="1" x14ac:dyDescent="0.3">
      <c r="A479" s="13" t="str">
        <f>IF(478&lt;='HELOC Calculator'!$B$16,478,"")</f>
        <v/>
      </c>
      <c r="B479" s="14" t="str">
        <f t="shared" si="30"/>
        <v/>
      </c>
      <c r="C479" s="13" t="str">
        <f>IF($A479="","",IF($A479&lt;='HELOC Calculator'!$B$14,"Draw","Repayment"))</f>
        <v/>
      </c>
      <c r="D479" s="15" t="str">
        <f t="shared" si="31"/>
        <v/>
      </c>
      <c r="E479" s="15" t="str">
        <f>IF($A479="","",IF($C479="Draw",'HELOC Calculator'!$B$7,0))</f>
        <v/>
      </c>
      <c r="F479" s="15" t="str">
        <f>IF($A479="","",$D479*('HELOC Calculator'!$B$8/12))</f>
        <v/>
      </c>
      <c r="G479" s="15" t="str">
        <f>IF($A479="","",IF($C479="Draw",$F479,'HELOC Calculator'!$B$18))</f>
        <v/>
      </c>
      <c r="H479" s="15" t="str">
        <f t="shared" si="28"/>
        <v/>
      </c>
      <c r="I479" s="15" t="str">
        <f t="shared" si="29"/>
        <v/>
      </c>
    </row>
    <row r="480" spans="1:9" ht="15" customHeight="1" x14ac:dyDescent="0.3">
      <c r="A480" s="13" t="str">
        <f>IF(479&lt;='HELOC Calculator'!$B$16,479,"")</f>
        <v/>
      </c>
      <c r="B480" s="14" t="str">
        <f t="shared" si="30"/>
        <v/>
      </c>
      <c r="C480" s="13" t="str">
        <f>IF($A480="","",IF($A480&lt;='HELOC Calculator'!$B$14,"Draw","Repayment"))</f>
        <v/>
      </c>
      <c r="D480" s="15" t="str">
        <f t="shared" si="31"/>
        <v/>
      </c>
      <c r="E480" s="15" t="str">
        <f>IF($A480="","",IF($C480="Draw",'HELOC Calculator'!$B$7,0))</f>
        <v/>
      </c>
      <c r="F480" s="15" t="str">
        <f>IF($A480="","",$D480*('HELOC Calculator'!$B$8/12))</f>
        <v/>
      </c>
      <c r="G480" s="15" t="str">
        <f>IF($A480="","",IF($C480="Draw",$F480,'HELOC Calculator'!$B$18))</f>
        <v/>
      </c>
      <c r="H480" s="15" t="str">
        <f t="shared" si="28"/>
        <v/>
      </c>
      <c r="I480" s="15" t="str">
        <f t="shared" si="29"/>
        <v/>
      </c>
    </row>
    <row r="481" spans="1:9" ht="15" customHeight="1" x14ac:dyDescent="0.3">
      <c r="A481" s="13" t="str">
        <f>IF(480&lt;='HELOC Calculator'!$B$16,480,"")</f>
        <v/>
      </c>
      <c r="B481" s="14" t="str">
        <f t="shared" si="30"/>
        <v/>
      </c>
      <c r="C481" s="13" t="str">
        <f>IF($A481="","",IF($A481&lt;='HELOC Calculator'!$B$14,"Draw","Repayment"))</f>
        <v/>
      </c>
      <c r="D481" s="15" t="str">
        <f t="shared" si="31"/>
        <v/>
      </c>
      <c r="E481" s="15" t="str">
        <f>IF($A481="","",IF($C481="Draw",'HELOC Calculator'!$B$7,0))</f>
        <v/>
      </c>
      <c r="F481" s="15" t="str">
        <f>IF($A481="","",$D481*('HELOC Calculator'!$B$8/12))</f>
        <v/>
      </c>
      <c r="G481" s="15" t="str">
        <f>IF($A481="","",IF($C481="Draw",$F481,'HELOC Calculator'!$B$18))</f>
        <v/>
      </c>
      <c r="H481" s="15" t="str">
        <f t="shared" si="28"/>
        <v/>
      </c>
      <c r="I481" s="15" t="str">
        <f t="shared" si="29"/>
        <v/>
      </c>
    </row>
  </sheetData>
  <conditionalFormatting sqref="A2:I481">
    <cfRule type="expression" dxfId="1" priority="2">
      <formula>$C2="Draw"</formula>
    </cfRule>
    <cfRule type="expression" dxfId="0" priority="3">
      <formula>$C2="Repayment"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HELOC Calculator</vt:lpstr>
      <vt:lpstr>Amortization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Tyler Huang</cp:lastModifiedBy>
  <cp:revision>0</cp:revision>
  <dcterms:created xsi:type="dcterms:W3CDTF">2026-07-22T19:26:41Z</dcterms:created>
  <dcterms:modified xsi:type="dcterms:W3CDTF">2026-07-24T11:22:15Z</dcterms:modified>
  <dc:language>en-US</dc:language>
</cp:coreProperties>
</file>